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https://richmondandwandsworth-my.sharepoint.com/personal/chris_williams_richmondandwandsworth_gov_uk/Documents/Downloads/"/>
    </mc:Choice>
  </mc:AlternateContent>
  <xr:revisionPtr revIDLastSave="3" documentId="8_{BDC00169-E7B5-467A-B9E4-042B09129426}" xr6:coauthVersionLast="47" xr6:coauthVersionMax="47" xr10:uidLastSave="{FFC5888B-8926-4351-AAFC-BE5EF529B356}"/>
  <workbookProtection workbookAlgorithmName="SHA-512" workbookHashValue="tr8q3Xmq4Z83jH+uAq5YVN1fLoxonXYY7SXjsI8aGq5fODX468ZDdtPr0tRfU3XpuFaAiMhQariJJD+9PmHdeg==" workbookSaltValue="9jbJ4CqJutSijLge7I8enw==" workbookSpinCount="100000" lockStructure="1"/>
  <bookViews>
    <workbookView xWindow="-120" yWindow="-120" windowWidth="29040" windowHeight="15840" tabRatio="773" xr2:uid="{99FFF8D4-CFE0-4752-A700-AB2D6E787DA2}"/>
  </bookViews>
  <sheets>
    <sheet name="Contents" sheetId="1" r:id="rId1"/>
    <sheet name="Instructions" sheetId="9" r:id="rId2"/>
    <sheet name="Application Details" sheetId="2" r:id="rId3"/>
    <sheet name="Development Details" sheetId="3" r:id="rId4"/>
    <sheet name="A" sheetId="28" r:id="rId5"/>
    <sheet name="B" sheetId="8" r:id="rId6"/>
    <sheet name="C" sheetId="13" r:id="rId7"/>
    <sheet name="D" sheetId="15" r:id="rId8"/>
    <sheet name="E" sheetId="16" r:id="rId9"/>
    <sheet name="F" sheetId="17" r:id="rId10"/>
    <sheet name="G" sheetId="29" r:id="rId11"/>
    <sheet name="H" sheetId="30" r:id="rId12"/>
    <sheet name="I" sheetId="27" r:id="rId13"/>
    <sheet name="J" sheetId="31" r:id="rId14"/>
    <sheet name="K" sheetId="5" r:id="rId15"/>
    <sheet name="Requirements Summary" sheetId="33" r:id="rId16"/>
    <sheet name="Lookup Development Size" sheetId="6" state="hidden" r:id="rId17"/>
    <sheet name="Lookup Predominant Use" sheetId="11" state="hidden" r:id="rId18"/>
    <sheet name="Lookup Yes and No" sheetId="12" state="hidden" r:id="rId19"/>
    <sheet name="Population Development Matrix" sheetId="20" state="hidden" r:id="rId20"/>
    <sheet name="Population Yield" sheetId="21" state="hidden" r:id="rId21"/>
    <sheet name="Population 2004 Yield" sheetId="22" state="hidden" r:id="rId22"/>
    <sheet name="Population 2007 Yield" sheetId="23" state="hidden" r:id="rId23"/>
    <sheet name="Standard Messages" sheetId="32" state="hidden" r:id="rId24"/>
  </sheets>
  <definedNames>
    <definedName name="Inputs_still_required">'Standard Messages'!$B$2</definedName>
    <definedName name="No_requirement">'Standard Messages'!$B$3</definedName>
    <definedName name="No_requirement_in_document">'Standard Messages'!$B$5</definedName>
    <definedName name="Not_included_in_calculator">'Standard Messages'!$B$4</definedName>
    <definedName name="Not_included_in_summary">'Standard Messages'!$B$6</definedName>
    <definedName name="_xlnm.Print_Area" localSheetId="4">A!$B$2:$P$23</definedName>
    <definedName name="_xlnm.Print_Area" localSheetId="2">'Application Details'!$B$2:$E$14</definedName>
    <definedName name="_xlnm.Print_Area" localSheetId="5">B!$B$2:$P$44</definedName>
    <definedName name="_xlnm.Print_Area" localSheetId="6">'C'!$B$2:$P$31</definedName>
    <definedName name="_xlnm.Print_Area" localSheetId="0">Contents!$B$2:$Q$55</definedName>
    <definedName name="_xlnm.Print_Area" localSheetId="7">D!$B$2:$P$34</definedName>
    <definedName name="_xlnm.Print_Area" localSheetId="3">'Development Details'!$B$2:$P$110</definedName>
    <definedName name="_xlnm.Print_Area" localSheetId="8">E!$B$2:$P$49</definedName>
    <definedName name="_xlnm.Print_Area" localSheetId="9">F!$B$2:$P$79</definedName>
    <definedName name="_xlnm.Print_Area" localSheetId="10">G!$B$2:$P$42</definedName>
    <definedName name="_xlnm.Print_Area" localSheetId="11">H!$B$2:$P$38</definedName>
    <definedName name="_xlnm.Print_Area" localSheetId="12">I!$B$2:$P$50</definedName>
    <definedName name="_xlnm.Print_Area" localSheetId="1">Instructions!$B$2:$Q$37</definedName>
    <definedName name="_xlnm.Print_Area" localSheetId="13">J!$B$2:$P$18</definedName>
    <definedName name="_xlnm.Print_Area" localSheetId="14">K!$B$2:$P$66</definedName>
    <definedName name="_xlnm.Print_Area" localSheetId="19">'Population Development Matrix'!$A$1:$J$26</definedName>
    <definedName name="_xlnm.Print_Area" localSheetId="20">'Population Yield'!$A$1:$M$28</definedName>
    <definedName name="_xlnm.Print_Area" localSheetId="15">'Requirements Summary'!$B$2:$Q$51</definedName>
    <definedName name="_xlnm.Print_Titles" localSheetId="0">Contents!$15:$15</definedName>
    <definedName name="_xlnm.Print_Titles" localSheetId="15">'Requirements Summary'!$5:$6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3" l="1"/>
  <c r="K19" i="33" l="1"/>
  <c r="C24" i="13"/>
  <c r="E24" i="13" s="1"/>
  <c r="I39" i="33" l="1"/>
  <c r="C23" i="30" l="1"/>
  <c r="C72" i="17"/>
  <c r="G9" i="13"/>
  <c r="E72" i="17" l="1"/>
  <c r="I35" i="33"/>
  <c r="K35" i="33" s="1"/>
  <c r="C76" i="17"/>
  <c r="I93" i="3"/>
  <c r="H77" i="3"/>
  <c r="E71" i="3"/>
  <c r="B3" i="32" l="1"/>
  <c r="I41" i="33" l="1"/>
  <c r="I40" i="33"/>
  <c r="F14" i="31"/>
  <c r="G7" i="31"/>
  <c r="C35" i="30"/>
  <c r="C29" i="30"/>
  <c r="E19" i="27" l="1"/>
  <c r="E14" i="27"/>
  <c r="K46" i="33"/>
  <c r="K14" i="33"/>
  <c r="K9" i="33"/>
  <c r="K8" i="33"/>
  <c r="M34" i="3"/>
  <c r="K7" i="33" l="1"/>
  <c r="K42" i="5" l="1"/>
  <c r="K43" i="5"/>
  <c r="K44" i="5"/>
  <c r="K45" i="5"/>
  <c r="K46" i="5"/>
  <c r="G9" i="17" l="1"/>
  <c r="K42" i="33" l="1"/>
  <c r="K37" i="33"/>
  <c r="K29" i="33"/>
  <c r="K22" i="33"/>
  <c r="K17" i="33"/>
  <c r="K16" i="33"/>
  <c r="K12" i="33"/>
  <c r="K11" i="33"/>
  <c r="K10" i="33"/>
  <c r="I13" i="33"/>
  <c r="I47" i="33"/>
  <c r="K47" i="33" s="1"/>
  <c r="K40" i="33"/>
  <c r="K41" i="33"/>
  <c r="K50" i="5" l="1"/>
  <c r="K51" i="5"/>
  <c r="D58" i="5"/>
  <c r="D57" i="5"/>
  <c r="D56" i="5"/>
  <c r="K49" i="5"/>
  <c r="H28" i="13" l="1"/>
  <c r="I21" i="33"/>
  <c r="K21" i="33" s="1"/>
  <c r="I48" i="33"/>
  <c r="K48" i="33" s="1"/>
  <c r="I95" i="3" l="1"/>
  <c r="H85" i="3" l="1"/>
  <c r="H87" i="3" s="1"/>
  <c r="H79" i="3"/>
  <c r="H17" i="15" l="1"/>
  <c r="H18" i="15" s="1"/>
  <c r="H19" i="15" s="1"/>
  <c r="K24" i="33" s="1"/>
  <c r="C7" i="15"/>
  <c r="C7" i="9"/>
  <c r="C9" i="9" s="1"/>
  <c r="C11" i="9" s="1"/>
  <c r="C13" i="9" s="1"/>
  <c r="C17" i="9" s="1"/>
  <c r="C19" i="9" s="1"/>
  <c r="C21" i="9" s="1"/>
  <c r="C23" i="9" s="1"/>
  <c r="E9" i="15" l="1"/>
  <c r="C27" i="15"/>
  <c r="I22" i="33"/>
  <c r="I24" i="33" s="1"/>
  <c r="D12" i="15"/>
  <c r="C25" i="9"/>
  <c r="C29" i="9" s="1"/>
  <c r="C33" i="9" s="1"/>
  <c r="I25" i="33" l="1"/>
  <c r="K25" i="33" s="1"/>
  <c r="F27" i="15"/>
  <c r="H31" i="15"/>
  <c r="H30" i="15"/>
  <c r="I23" i="33"/>
  <c r="K23" i="33"/>
  <c r="D14" i="20"/>
  <c r="E14" i="20"/>
  <c r="F14" i="20"/>
  <c r="G14" i="20"/>
  <c r="H14" i="20"/>
  <c r="I14" i="20"/>
  <c r="D15" i="20"/>
  <c r="E15" i="20"/>
  <c r="F15" i="20"/>
  <c r="G15" i="20"/>
  <c r="H15" i="20"/>
  <c r="I15" i="20"/>
  <c r="E13" i="20"/>
  <c r="F13" i="20"/>
  <c r="G13" i="20"/>
  <c r="H13" i="20"/>
  <c r="I13" i="20"/>
  <c r="D13" i="20"/>
  <c r="D10" i="20"/>
  <c r="E10" i="20"/>
  <c r="F10" i="20"/>
  <c r="G10" i="20"/>
  <c r="H10" i="20"/>
  <c r="I10" i="20"/>
  <c r="D11" i="20"/>
  <c r="E11" i="20"/>
  <c r="F11" i="20"/>
  <c r="G11" i="20"/>
  <c r="H11" i="20"/>
  <c r="I11" i="20"/>
  <c r="E9" i="20"/>
  <c r="F9" i="20"/>
  <c r="G9" i="20"/>
  <c r="H9" i="20"/>
  <c r="I9" i="20"/>
  <c r="D9" i="20"/>
  <c r="F12" i="20" l="1"/>
  <c r="D12" i="20"/>
  <c r="H12" i="20"/>
  <c r="E12" i="20"/>
  <c r="G12" i="20"/>
  <c r="I12" i="20"/>
  <c r="I8" i="21"/>
  <c r="J10" i="21"/>
  <c r="J24" i="21" s="1"/>
  <c r="B1" i="21"/>
  <c r="K1" i="21"/>
  <c r="C8" i="21"/>
  <c r="J8" i="21"/>
  <c r="K8" i="21"/>
  <c r="C9" i="21"/>
  <c r="C23" i="21" s="1"/>
  <c r="E9" i="21"/>
  <c r="E23" i="21" s="1"/>
  <c r="I9" i="21"/>
  <c r="I23" i="21" s="1"/>
  <c r="K9" i="21"/>
  <c r="K23" i="21" s="1"/>
  <c r="C10" i="21"/>
  <c r="C24" i="21" s="1"/>
  <c r="E10" i="21"/>
  <c r="E24" i="21" s="1"/>
  <c r="I10" i="21"/>
  <c r="I24" i="21" s="1"/>
  <c r="K10" i="21"/>
  <c r="K24" i="21" s="1"/>
  <c r="C11" i="21"/>
  <c r="E11" i="21"/>
  <c r="I11" i="21"/>
  <c r="K11" i="21"/>
  <c r="C12" i="21"/>
  <c r="E12" i="21"/>
  <c r="I12" i="21"/>
  <c r="J12" i="21"/>
  <c r="C13" i="21"/>
  <c r="J13" i="21"/>
  <c r="K13" i="21"/>
  <c r="C14" i="21"/>
  <c r="E14" i="21"/>
  <c r="I14" i="21"/>
  <c r="J14" i="21"/>
  <c r="C15" i="21"/>
  <c r="J15" i="21"/>
  <c r="K15" i="21"/>
  <c r="C16" i="21"/>
  <c r="E16" i="21"/>
  <c r="I16" i="21"/>
  <c r="J16" i="21"/>
  <c r="J9" i="20"/>
  <c r="J13" i="20"/>
  <c r="J14" i="20"/>
  <c r="J15" i="20"/>
  <c r="D16" i="20"/>
  <c r="E16" i="20"/>
  <c r="F16" i="20"/>
  <c r="G16" i="20"/>
  <c r="H16" i="20"/>
  <c r="I16" i="20"/>
  <c r="E7" i="15"/>
  <c r="H17" i="20" l="1"/>
  <c r="F17" i="20"/>
  <c r="I15" i="21"/>
  <c r="L15" i="21" s="1"/>
  <c r="D29" i="29" s="1"/>
  <c r="I13" i="21"/>
  <c r="L13" i="21" s="1"/>
  <c r="D27" i="29" s="1"/>
  <c r="C7" i="21"/>
  <c r="C22" i="21" s="1"/>
  <c r="D17" i="20"/>
  <c r="E7" i="21"/>
  <c r="J11" i="20"/>
  <c r="K16" i="21"/>
  <c r="L16" i="21" s="1"/>
  <c r="D30" i="29" s="1"/>
  <c r="E15" i="21"/>
  <c r="K14" i="21"/>
  <c r="L14" i="21" s="1"/>
  <c r="D28" i="29" s="1"/>
  <c r="E13" i="21"/>
  <c r="K12" i="21"/>
  <c r="L12" i="21" s="1"/>
  <c r="D26" i="29" s="1"/>
  <c r="E8" i="21"/>
  <c r="K7" i="21"/>
  <c r="K22" i="21" s="1"/>
  <c r="K25" i="21" s="1"/>
  <c r="J9" i="21"/>
  <c r="J23" i="21" s="1"/>
  <c r="L23" i="21" s="1"/>
  <c r="I17" i="20"/>
  <c r="D7" i="21"/>
  <c r="G17" i="20"/>
  <c r="J11" i="21"/>
  <c r="L11" i="21" s="1"/>
  <c r="D25" i="29" s="1"/>
  <c r="J10" i="20"/>
  <c r="D16" i="21"/>
  <c r="F16" i="21" s="1"/>
  <c r="D15" i="21"/>
  <c r="D14" i="21"/>
  <c r="F14" i="21" s="1"/>
  <c r="D13" i="21"/>
  <c r="D12" i="21"/>
  <c r="F12" i="21" s="1"/>
  <c r="D11" i="21"/>
  <c r="F11" i="21" s="1"/>
  <c r="D10" i="21"/>
  <c r="D24" i="21" s="1"/>
  <c r="F24" i="21" s="1"/>
  <c r="D9" i="21"/>
  <c r="D23" i="21" s="1"/>
  <c r="F23" i="21" s="1"/>
  <c r="J7" i="21"/>
  <c r="D8" i="21"/>
  <c r="I7" i="21"/>
  <c r="I22" i="21" s="1"/>
  <c r="I25" i="21" s="1"/>
  <c r="J16" i="20"/>
  <c r="L24" i="21"/>
  <c r="L10" i="21"/>
  <c r="D24" i="29" s="1"/>
  <c r="L8" i="21"/>
  <c r="D22" i="29" s="1"/>
  <c r="J12" i="20"/>
  <c r="E17" i="20"/>
  <c r="F15" i="17" l="1"/>
  <c r="C36" i="17" s="1"/>
  <c r="I31" i="33" s="1"/>
  <c r="D38" i="29"/>
  <c r="F13" i="17"/>
  <c r="C24" i="17" s="1"/>
  <c r="I30" i="33" s="1"/>
  <c r="D37" i="29"/>
  <c r="C17" i="21"/>
  <c r="D22" i="21"/>
  <c r="D25" i="21" s="1"/>
  <c r="F15" i="21"/>
  <c r="F9" i="21"/>
  <c r="E17" i="21"/>
  <c r="F8" i="21"/>
  <c r="F7" i="21"/>
  <c r="L9" i="21"/>
  <c r="D23" i="29" s="1"/>
  <c r="F13" i="21"/>
  <c r="C21" i="20"/>
  <c r="C20" i="20" s="1"/>
  <c r="I17" i="21"/>
  <c r="J17" i="20"/>
  <c r="B20" i="20" s="1"/>
  <c r="E22" i="21"/>
  <c r="E25" i="21" s="1"/>
  <c r="K17" i="21"/>
  <c r="J17" i="21"/>
  <c r="J22" i="21"/>
  <c r="J25" i="21" s="1"/>
  <c r="F10" i="21"/>
  <c r="D17" i="21"/>
  <c r="L7" i="21"/>
  <c r="D21" i="29" s="1"/>
  <c r="C25" i="21"/>
  <c r="J30" i="17" l="1"/>
  <c r="K30" i="33" s="1"/>
  <c r="J42" i="17"/>
  <c r="K31" i="33" s="1"/>
  <c r="J29" i="17"/>
  <c r="J41" i="17"/>
  <c r="E36" i="17"/>
  <c r="E24" i="17"/>
  <c r="F17" i="21"/>
  <c r="F22" i="21"/>
  <c r="F25" i="21" s="1"/>
  <c r="L17" i="21"/>
  <c r="L22" i="21"/>
  <c r="G10" i="17" l="1"/>
  <c r="D31" i="29"/>
  <c r="L25" i="21"/>
  <c r="D39" i="29" s="1"/>
  <c r="D36" i="29"/>
  <c r="I31" i="3"/>
  <c r="H31" i="3"/>
  <c r="G31" i="3"/>
  <c r="L35" i="3"/>
  <c r="K35" i="3"/>
  <c r="J35" i="3"/>
  <c r="I35" i="3"/>
  <c r="H35" i="3"/>
  <c r="G35" i="3"/>
  <c r="M32" i="3"/>
  <c r="M33" i="3"/>
  <c r="J31" i="3"/>
  <c r="K31" i="3"/>
  <c r="K36" i="3" s="1"/>
  <c r="L31" i="3"/>
  <c r="M29" i="3"/>
  <c r="M30" i="3"/>
  <c r="M28" i="3"/>
  <c r="H36" i="3" l="1"/>
  <c r="I36" i="3"/>
  <c r="G36" i="3"/>
  <c r="G11" i="17"/>
  <c r="C52" i="17" s="1"/>
  <c r="I33" i="33" s="1"/>
  <c r="K33" i="33" s="1"/>
  <c r="J36" i="3"/>
  <c r="L36" i="3"/>
  <c r="M35" i="3"/>
  <c r="M31" i="3"/>
  <c r="E52" i="17" l="1"/>
  <c r="C56" i="17"/>
  <c r="M36" i="3"/>
  <c r="K41" i="5"/>
  <c r="C9" i="30" l="1"/>
  <c r="C2" i="6"/>
  <c r="K29" i="5" s="1"/>
  <c r="E9" i="30"/>
  <c r="F16" i="30"/>
  <c r="F17" i="30" s="1"/>
  <c r="C7" i="29"/>
  <c r="E7" i="29" s="1"/>
  <c r="C7" i="13"/>
  <c r="C62" i="17"/>
  <c r="I34" i="33" s="1"/>
  <c r="K34" i="33" s="1"/>
  <c r="C42" i="27"/>
  <c r="E42" i="27" s="1"/>
  <c r="C7" i="27"/>
  <c r="I42" i="33" s="1"/>
  <c r="F5" i="28"/>
  <c r="C15" i="28" s="1"/>
  <c r="C20" i="28" s="1"/>
  <c r="K15" i="33" s="1"/>
  <c r="C7" i="16"/>
  <c r="C7" i="8"/>
  <c r="D26" i="5" l="1"/>
  <c r="D27" i="5" s="1"/>
  <c r="F13" i="5" s="1"/>
  <c r="I14" i="8"/>
  <c r="I25" i="8"/>
  <c r="I24" i="8"/>
  <c r="C12" i="29"/>
  <c r="I36" i="33"/>
  <c r="I15" i="8"/>
  <c r="I20" i="33"/>
  <c r="I19" i="33"/>
  <c r="E15" i="16"/>
  <c r="E46" i="27"/>
  <c r="G46" i="27" s="1"/>
  <c r="E7" i="13"/>
  <c r="F16" i="13"/>
  <c r="F17" i="13"/>
  <c r="I45" i="33"/>
  <c r="K45" i="33" s="1"/>
  <c r="C66" i="17"/>
  <c r="E62" i="17"/>
  <c r="E7" i="27"/>
  <c r="M37" i="8"/>
  <c r="M36" i="8"/>
  <c r="K7" i="28"/>
  <c r="E15" i="28"/>
  <c r="K10" i="28"/>
  <c r="E7" i="16"/>
  <c r="I17" i="33"/>
  <c r="E7" i="8"/>
  <c r="I38" i="33"/>
  <c r="I26" i="33"/>
  <c r="K26" i="33" s="1"/>
  <c r="I15" i="33"/>
  <c r="G23" i="27"/>
  <c r="E29" i="27" s="1"/>
  <c r="F15" i="5" l="1"/>
  <c r="I31" i="8"/>
  <c r="M35" i="8" s="1"/>
  <c r="I30" i="8"/>
  <c r="K36" i="33"/>
  <c r="G42" i="16"/>
  <c r="I28" i="33"/>
  <c r="G22" i="16"/>
  <c r="G38" i="16"/>
  <c r="G25" i="16"/>
  <c r="G26" i="16"/>
  <c r="G15" i="16"/>
  <c r="I27" i="33"/>
  <c r="K20" i="33"/>
  <c r="G41" i="16"/>
  <c r="G37" i="16"/>
  <c r="G21" i="16"/>
  <c r="I18" i="33"/>
  <c r="K39" i="33"/>
  <c r="K38" i="33"/>
  <c r="G29" i="27"/>
  <c r="G34" i="27"/>
  <c r="G35" i="27" s="1"/>
  <c r="G36" i="27" s="1"/>
  <c r="I43" i="33"/>
  <c r="K43" i="33" s="1"/>
  <c r="I44" i="33"/>
  <c r="I23" i="27"/>
  <c r="K13" i="33" l="1"/>
  <c r="L15" i="5"/>
  <c r="L13" i="5"/>
  <c r="G40" i="8"/>
  <c r="G41" i="8"/>
  <c r="K18" i="33" s="1"/>
  <c r="G46" i="16"/>
  <c r="K28" i="33" s="1"/>
  <c r="G30" i="16"/>
  <c r="K27" i="33" s="1"/>
  <c r="G45" i="16"/>
  <c r="G29" i="16"/>
  <c r="K44" i="33"/>
</calcChain>
</file>

<file path=xl/sharedStrings.xml><?xml version="1.0" encoding="utf-8"?>
<sst xmlns="http://schemas.openxmlformats.org/spreadsheetml/2006/main" count="1176" uniqueCount="444">
  <si>
    <t>Wandsworth Planning Obligations Supplementary Planning Document Calculator</t>
  </si>
  <si>
    <t>Contents</t>
  </si>
  <si>
    <t>Instructions</t>
  </si>
  <si>
    <t>Application Details</t>
  </si>
  <si>
    <t>Development Details</t>
  </si>
  <si>
    <t>Calculation Sheets:</t>
  </si>
  <si>
    <t xml:space="preserve"> </t>
  </si>
  <si>
    <t>Section of the Planning Obligations Supplementary Planning Document</t>
  </si>
  <si>
    <t>Calculation Sheet</t>
  </si>
  <si>
    <t>Introduction</t>
  </si>
  <si>
    <t>-</t>
  </si>
  <si>
    <t>1.21</t>
  </si>
  <si>
    <t>Community Infrastructure Levy (CIL)</t>
  </si>
  <si>
    <t>Not included: refer to the Planning Obligations Supplementary Planning Document</t>
  </si>
  <si>
    <t>1.33</t>
  </si>
  <si>
    <t>Section 278 Highways Act 1980 Agreements</t>
  </si>
  <si>
    <t>Legislative and Policy Context</t>
  </si>
  <si>
    <t>Types of Planning Obligations</t>
  </si>
  <si>
    <t>4</t>
  </si>
  <si>
    <t>Negotiating and Monitoring Section 106 Planning Obligations</t>
  </si>
  <si>
    <t>4.10</t>
  </si>
  <si>
    <t>Section 106 Monitoring Fee</t>
  </si>
  <si>
    <t>K</t>
  </si>
  <si>
    <t>4.14</t>
  </si>
  <si>
    <t>Highways Inspection Fee</t>
  </si>
  <si>
    <t>Affordable Housing</t>
  </si>
  <si>
    <t>A</t>
  </si>
  <si>
    <t>Employment, Skills, Enterprise and Affordable Business Space</t>
  </si>
  <si>
    <t>Employment and Training Opportunities for Large Sites</t>
  </si>
  <si>
    <t>B</t>
  </si>
  <si>
    <t>Smaller Site Requirements</t>
  </si>
  <si>
    <t>C</t>
  </si>
  <si>
    <t>Use of Local Goods, Services, Suppliers and Sub-Contractors by the Developer</t>
  </si>
  <si>
    <t>6.16</t>
  </si>
  <si>
    <t>Affordable, Flexible and Managed Workspace</t>
  </si>
  <si>
    <t>D</t>
  </si>
  <si>
    <t>Arts and Culture</t>
  </si>
  <si>
    <t>E</t>
  </si>
  <si>
    <t>Social Infrastructure</t>
  </si>
  <si>
    <t>F</t>
  </si>
  <si>
    <t>Primary Schools</t>
  </si>
  <si>
    <t>Secondary Schools</t>
  </si>
  <si>
    <t>Health</t>
  </si>
  <si>
    <t>Emergency Services</t>
  </si>
  <si>
    <t>Police</t>
  </si>
  <si>
    <t>Extra Care Housing</t>
  </si>
  <si>
    <t>Open Space</t>
  </si>
  <si>
    <t>G</t>
  </si>
  <si>
    <t>Sustainability</t>
  </si>
  <si>
    <t>H</t>
  </si>
  <si>
    <t>10.6</t>
  </si>
  <si>
    <t>Carbon Offsetting</t>
  </si>
  <si>
    <t>10.7</t>
  </si>
  <si>
    <t>Decentralised Energy Networks</t>
  </si>
  <si>
    <t>10.8</t>
  </si>
  <si>
    <t>Biodiversity/Habitats</t>
  </si>
  <si>
    <t>10.11</t>
  </si>
  <si>
    <t>Flood Risk</t>
  </si>
  <si>
    <t>10.17</t>
  </si>
  <si>
    <t>Air Quality</t>
  </si>
  <si>
    <t>I</t>
  </si>
  <si>
    <t>10.21</t>
  </si>
  <si>
    <t>Street Cleansing—Construction Phase</t>
  </si>
  <si>
    <t>Transport</t>
  </si>
  <si>
    <t>Historic Environment</t>
  </si>
  <si>
    <t>J</t>
  </si>
  <si>
    <t>CCTV</t>
  </si>
  <si>
    <t>Requirements Summary</t>
  </si>
  <si>
    <t>Supplementary Planning Document Version: October 2020</t>
  </si>
  <si>
    <t>Calculator Version: 3.2</t>
  </si>
  <si>
    <t>What This Calculator Covers</t>
  </si>
  <si>
    <t xml:space="preserve">This calculator incorporates many of the thresholds and formulas in the Planning Obligations Supplementary Planning Document ('the Supplementary Planning Document'), as a tool to estimate and calculate obligations that may be required of development within the borough. </t>
  </si>
  <si>
    <t>It does not cover all the provisions of the Supplementary Planning Document, as in that document not all of the thresholds or requirements are represented in terms of a formula.</t>
  </si>
  <si>
    <t>The provisions of the Supplementary Planning Document that can be calculated using this calculator are listed in the Contents sheet.</t>
  </si>
  <si>
    <t>For the provisions that are included in this calculator, the Planning Obligations Supplementary Planning Document must still be referred to for background explanation and details of the requirements.</t>
  </si>
  <si>
    <t>Information That Must Be Entered</t>
  </si>
  <si>
    <t>In this calculator, any fields that require information about the development to be entered are shaded gold:</t>
  </si>
  <si>
    <t>Input Required</t>
  </si>
  <si>
    <t>Any fields that are automatically calculated, as a result of the information that has been entered, are shaded grey:</t>
  </si>
  <si>
    <t>Calculated Field</t>
  </si>
  <si>
    <t>Any fields that are automatically calculated, and result in a requirement, are shaded green:</t>
  </si>
  <si>
    <t>Requirement</t>
  </si>
  <si>
    <t>Enter all the details required on the Application Details and Development Details sheets.</t>
  </si>
  <si>
    <t>Then check the calculations sheets, sheets A–K, filling in any gold shaded input fields that are relevant to the application.</t>
  </si>
  <si>
    <t>Calculator Results</t>
  </si>
  <si>
    <t>Once all of the required inputs have been entered, the Requirements Summary sheet shows a summary of the requirements of the proposal, to act as a starting point for discussions with the Council.</t>
  </si>
  <si>
    <t>Help on Using the Calculator</t>
  </si>
  <si>
    <t>For further information about the calculator, or for any help in using it, contact Planning Information:</t>
  </si>
  <si>
    <t>Email</t>
  </si>
  <si>
    <t>planninginformation@wandsworth.gov.uk</t>
  </si>
  <si>
    <t>Phone</t>
  </si>
  <si>
    <t>020 8871 7620</t>
  </si>
  <si>
    <t>Application number</t>
  </si>
  <si>
    <t>Site address</t>
  </si>
  <si>
    <t>Development description</t>
  </si>
  <si>
    <t>Date entered into calculator</t>
  </si>
  <si>
    <t>Date granted</t>
  </si>
  <si>
    <t>Site</t>
  </si>
  <si>
    <t>Site area</t>
  </si>
  <si>
    <t>ha</t>
  </si>
  <si>
    <t>Proposed Uses</t>
  </si>
  <si>
    <t>Proposed non-self-contained or student rooms</t>
  </si>
  <si>
    <t>The number of proposed student accommodation rooms, residential care or nursing home rooms, house in multiple occupation rooms, and hostel rooms</t>
  </si>
  <si>
    <t>Extra care or supported housing is proposed</t>
  </si>
  <si>
    <t>Predominant use</t>
  </si>
  <si>
    <t>There is a reduction of protected open space</t>
  </si>
  <si>
    <t>Building height</t>
  </si>
  <si>
    <t>m</t>
  </si>
  <si>
    <t>Proposed Self-Contained Dwellings</t>
  </si>
  <si>
    <t>Number of Dwellings and Dwelling Size Mix</t>
  </si>
  <si>
    <t>Dwelling Type</t>
  </si>
  <si>
    <t>Tenure</t>
  </si>
  <si>
    <t>Unit Size</t>
  </si>
  <si>
    <t>The number of proposed flats and houses</t>
  </si>
  <si>
    <t>Studio</t>
  </si>
  <si>
    <t>1 Bed</t>
  </si>
  <si>
    <t>2 Bed</t>
  </si>
  <si>
    <t>3 Bed</t>
  </si>
  <si>
    <t>4 Bed</t>
  </si>
  <si>
    <t>5+ Bed</t>
  </si>
  <si>
    <t>Total</t>
  </si>
  <si>
    <t>Flats</t>
  </si>
  <si>
    <t>Market</t>
  </si>
  <si>
    <t>Intermediate</t>
  </si>
  <si>
    <t>Social/Affordable Rent</t>
  </si>
  <si>
    <t>Houses</t>
  </si>
  <si>
    <t>Density and Space Standards</t>
  </si>
  <si>
    <t>Proposed densities are below the minimum threshold in the London Plan Sustainable Residential Quality (SRQ) density matrix (London Plan Table 3.2)</t>
  </si>
  <si>
    <t>Dwelling sizes significantly exceed the space standards in Table 3.3 of the London Plan</t>
  </si>
  <si>
    <t>Proposed Floorspace</t>
  </si>
  <si>
    <t>All Floorspace</t>
  </si>
  <si>
    <t>Use Class</t>
  </si>
  <si>
    <t>Gross Internal Area (m²)</t>
  </si>
  <si>
    <t>A1</t>
  </si>
  <si>
    <t>A2</t>
  </si>
  <si>
    <t>A3</t>
  </si>
  <si>
    <t>Floorspace such as car parking, basements, plant rooms and circulation space must all be included in this table</t>
  </si>
  <si>
    <t>A4</t>
  </si>
  <si>
    <t>A5</t>
  </si>
  <si>
    <t>B1a</t>
  </si>
  <si>
    <t>B1b</t>
  </si>
  <si>
    <t>B1c</t>
  </si>
  <si>
    <t>B1 total</t>
  </si>
  <si>
    <t>B2</t>
  </si>
  <si>
    <t>B8</t>
  </si>
  <si>
    <t>C1</t>
  </si>
  <si>
    <t>C2</t>
  </si>
  <si>
    <t>C2A</t>
  </si>
  <si>
    <t>C3</t>
  </si>
  <si>
    <t>C4</t>
  </si>
  <si>
    <t>D1</t>
  </si>
  <si>
    <t>D2</t>
  </si>
  <si>
    <t>Sui generis</t>
  </si>
  <si>
    <t>'Flexible uses' refers to applications for e.g. A1/A2/A3/A4/A5 rather than just one A use class; the total of any flexible uses across all use classes proposed should be entered here</t>
  </si>
  <si>
    <t>Flexible uses</t>
  </si>
  <si>
    <t>Commercial Floorspace</t>
  </si>
  <si>
    <r>
      <t xml:space="preserve">Based on the definition of 'commercial floorspace' in the Local Plan, use classes A1, A2, A3, A4, A5, B1, B2, B8, D1 and D2 provide commercial floorspace, but so may </t>
    </r>
    <r>
      <rPr>
        <sz val="10"/>
        <color rgb="FF7F7F7F"/>
        <rFont val="Tahoma"/>
        <family val="2"/>
        <scheme val="minor"/>
      </rPr>
      <t>sui generis</t>
    </r>
    <r>
      <rPr>
        <i/>
        <sz val="10"/>
        <color rgb="FF7F7F7F"/>
        <rFont val="Tahoma"/>
        <family val="2"/>
        <scheme val="minor"/>
      </rPr>
      <t xml:space="preserve"> or flexible uses</t>
    </r>
  </si>
  <si>
    <t>A1, A2, A3, A4, A5, B1, B2, B8, D1 and D2 floorspace</t>
  </si>
  <si>
    <r>
      <rPr>
        <i/>
        <sz val="10"/>
        <color theme="1"/>
        <rFont val="Tahoma"/>
        <family val="2"/>
        <scheme val="minor"/>
      </rPr>
      <t>Sui generis</t>
    </r>
    <r>
      <rPr>
        <sz val="10"/>
        <color theme="1"/>
        <rFont val="Tahoma"/>
        <family val="2"/>
        <scheme val="minor"/>
      </rPr>
      <t xml:space="preserve"> or flexible uses commercial floorspace</t>
    </r>
  </si>
  <si>
    <t>Economic Floorspace</t>
  </si>
  <si>
    <r>
      <t xml:space="preserve">Based on the definition of 'economic uses' in the Local Plan, use classes B1, B2 and B8, provide economic floorspace, but so may </t>
    </r>
    <r>
      <rPr>
        <sz val="10"/>
        <color rgb="FF7F7F7F"/>
        <rFont val="Tahoma"/>
        <family val="2"/>
        <scheme val="minor"/>
      </rPr>
      <t>sui generis</t>
    </r>
    <r>
      <rPr>
        <i/>
        <sz val="10"/>
        <color rgb="FF7F7F7F"/>
        <rFont val="Tahoma"/>
        <family val="2"/>
        <scheme val="minor"/>
      </rPr>
      <t xml:space="preserve"> uses that have an industrial character or flexible uses</t>
    </r>
  </si>
  <si>
    <t>B1, B2 and B8 floorspace</t>
  </si>
  <si>
    <r>
      <rPr>
        <i/>
        <sz val="10"/>
        <color theme="1"/>
        <rFont val="Tahoma"/>
        <family val="2"/>
        <scheme val="minor"/>
      </rPr>
      <t>Sui generis</t>
    </r>
    <r>
      <rPr>
        <sz val="10"/>
        <color theme="1"/>
        <rFont val="Tahoma"/>
        <family val="2"/>
        <scheme val="minor"/>
      </rPr>
      <t xml:space="preserve"> or flexible uses economic floorspace</t>
    </r>
  </si>
  <si>
    <t>Non-residential Floorspace</t>
  </si>
  <si>
    <r>
      <t xml:space="preserve">Use classes A1, A2, A3, A4, A5, B1, B2 and B8, C1, D1 and D2 provide non-residential floorspace, but so may </t>
    </r>
    <r>
      <rPr>
        <sz val="10"/>
        <color rgb="FF7F7F7F"/>
        <rFont val="Tahoma"/>
        <family val="2"/>
        <scheme val="minor"/>
      </rPr>
      <t>sui generis</t>
    </r>
    <r>
      <rPr>
        <i/>
        <sz val="10"/>
        <color rgb="FF7F7F7F"/>
        <rFont val="Tahoma"/>
        <family val="2"/>
        <scheme val="minor"/>
      </rPr>
      <t xml:space="preserve"> or flexible uses</t>
    </r>
  </si>
  <si>
    <t>A1, A2, A3, A4, A5, B1, B2, B8, C1, D1 and D2 floorspace</t>
  </si>
  <si>
    <r>
      <rPr>
        <i/>
        <sz val="10"/>
        <color theme="1"/>
        <rFont val="Tahoma"/>
        <family val="2"/>
        <scheme val="minor"/>
      </rPr>
      <t>Sui generis</t>
    </r>
    <r>
      <rPr>
        <sz val="10"/>
        <color theme="1"/>
        <rFont val="Tahoma"/>
        <family val="2"/>
        <scheme val="minor"/>
      </rPr>
      <t xml:space="preserve"> or flexible uses non-residential floorspace</t>
    </r>
  </si>
  <si>
    <t>Construction Value</t>
  </si>
  <si>
    <t>Estimated construction value of the scheme</t>
  </si>
  <si>
    <t>Inputs Required on Calculation Sheets</t>
  </si>
  <si>
    <t>Section</t>
  </si>
  <si>
    <t>Sheets</t>
  </si>
  <si>
    <t>These calculator inputs are required, but require responses based on the context of the topic, so are presented on the relevant calculation sheets</t>
  </si>
  <si>
    <t>Employment and Skills</t>
  </si>
  <si>
    <t>Historic Environment and CCTV</t>
  </si>
  <si>
    <t>5 Affordable Housing</t>
  </si>
  <si>
    <t>Total proposed dwellings</t>
  </si>
  <si>
    <t>Relevant to Application</t>
  </si>
  <si>
    <t>Reason:</t>
  </si>
  <si>
    <t>Note: Refer to the Planning Obligations Supplementary Planning Document for details of any requirements shown above</t>
  </si>
  <si>
    <t>6.12 Employment and Training Opportunities for Large Sites</t>
  </si>
  <si>
    <t>Provision of Employment Opportunities for Wandsworth Residents</t>
  </si>
  <si>
    <t>Construction Phase</t>
  </si>
  <si>
    <t>Jobs, training and apprenticeship places</t>
  </si>
  <si>
    <t>=</t>
  </si>
  <si>
    <t>(square metres of floorspace / 1,000) × 5</t>
  </si>
  <si>
    <t>End-Use Phase</t>
  </si>
  <si>
    <t>Employee yield</t>
  </si>
  <si>
    <t>Refer to Table 4 of the Supplementary Planning Document. Employee yield = gross internal floor area / employee density. Employee density should be based on HCA employment density guidelines or other recognised methodology.</t>
  </si>
  <si>
    <t>employee yield × % of all jobs in Wandsworth taken by Wandsworth residents</t>
  </si>
  <si>
    <t>construction phase + end-use phase</t>
  </si>
  <si>
    <t>Employment and Enterprise Contribution</t>
  </si>
  <si>
    <t>Provision of employment opportunities for Wandsworth residents</t>
  </si>
  <si>
    <t>As calculated above</t>
  </si>
  <si>
    <t>Average cost of placing Wandsworth residents in jobs, training places and apprenticeships</t>
  </si>
  <si>
    <t>% of employees in Wandsworth requiring training and support</t>
  </si>
  <si>
    <t>Financial contribution</t>
  </si>
  <si>
    <t>A × B × C</t>
  </si>
  <si>
    <t>6.13 Smaller Site Requirements</t>
  </si>
  <si>
    <t>Value of development (cost of construction)</t>
  </si>
  <si>
    <t>Contribution</t>
  </si>
  <si>
    <t>Number of jobs the scheme entails based on Construction Industry Training Board standards</t>
  </si>
  <si>
    <t>number of jobs × £3,205</t>
  </si>
  <si>
    <t>6.14 Use of Local Goods, Services, Suppliers and Sub-Contractors by the Developer</t>
  </si>
  <si>
    <t>Use of Local Suppliers Requirement</t>
  </si>
  <si>
    <t>Local Procurement Plan or commuted sum required</t>
  </si>
  <si>
    <t>6.16 Affordable, Flexible and Managed Workspace</t>
  </si>
  <si>
    <t>Managed Workspace</t>
  </si>
  <si>
    <t>Managed workspace floorspace (m²)</t>
  </si>
  <si>
    <t>greater of 400 and (10% × economic floorspace)</t>
  </si>
  <si>
    <t>The required managed workspace floorspace will be provided</t>
  </si>
  <si>
    <t>Affordable Rent in Perpetuity</t>
  </si>
  <si>
    <t>Affordable floorspace (m²)</t>
  </si>
  <si>
    <t>10% × economic floorspace</t>
  </si>
  <si>
    <t>For sites in Nine Elms a different % will apply</t>
  </si>
  <si>
    <t>7 Arts and Culture</t>
  </si>
  <si>
    <t>Arts and Culture Action Plan Requirement</t>
  </si>
  <si>
    <t>An Arts and Culture Action Plan will be provided</t>
  </si>
  <si>
    <t>Commuted Sum Requirement</t>
  </si>
  <si>
    <t>Commuted sum required</t>
  </si>
  <si>
    <t>Public Arts</t>
  </si>
  <si>
    <t>Contribution housing</t>
  </si>
  <si>
    <t>£400 × number of dwellings</t>
  </si>
  <si>
    <t>Contribution non-residential</t>
  </si>
  <si>
    <t>£20,000 × (non-residential floorspace / 10,000)</t>
  </si>
  <si>
    <t>Contribution total</t>
  </si>
  <si>
    <t>contribution housing + contribution non-residential</t>
  </si>
  <si>
    <t>Arts and Cultural Infrastructure</t>
  </si>
  <si>
    <t>Arts and cultural infrastructure contribution required</t>
  </si>
  <si>
    <t>£600 × number of dwellings</t>
  </si>
  <si>
    <t>8 Social Infrastructure</t>
  </si>
  <si>
    <t>Population Yield</t>
  </si>
  <si>
    <t>Source</t>
  </si>
  <si>
    <t>Number of Residents</t>
  </si>
  <si>
    <t>Non-self-contained or student rooms</t>
  </si>
  <si>
    <t>Assuming one resident per non-self-contained or student room</t>
  </si>
  <si>
    <t>Dwellings</t>
  </si>
  <si>
    <t>Calculated using the Council's Population Yield Calculator</t>
  </si>
  <si>
    <t>Primary school age children</t>
  </si>
  <si>
    <t>The 5–10 year old child yield expected over time</t>
  </si>
  <si>
    <t>Secondary school age children</t>
  </si>
  <si>
    <t>The 11–15 year old child yield expected over time</t>
  </si>
  <si>
    <t>The following requirements are based on the indicative thresholds in the Supplementary Planning Document and are subject to an assessment of the existing capacity of public facilities</t>
  </si>
  <si>
    <t>On-Site Provision</t>
  </si>
  <si>
    <t>Primary school additional permanent forms of entry</t>
  </si>
  <si>
    <t>primary school age children / 210</t>
  </si>
  <si>
    <t>Secondary school additional permanent forms of entry</t>
  </si>
  <si>
    <t>secondary school age children / 150</t>
  </si>
  <si>
    <t>Assessed on a case-by-case basis</t>
  </si>
  <si>
    <t>See the Supplementary Planning Document</t>
  </si>
  <si>
    <t>Provision of Emergency Services Facilities</t>
  </si>
  <si>
    <t>Provision of District Ward Offices</t>
  </si>
  <si>
    <t>Planning Obligation</t>
  </si>
  <si>
    <t>9 Open Space</t>
  </si>
  <si>
    <t>Calculation</t>
  </si>
  <si>
    <t>Open space provision will be required based on the estimated number of residents:</t>
  </si>
  <si>
    <t>Total Population</t>
  </si>
  <si>
    <t>Age</t>
  </si>
  <si>
    <t>Yield</t>
  </si>
  <si>
    <t>As expected over time, calculated using the Council's population yield calculator</t>
  </si>
  <si>
    <t>0–2</t>
  </si>
  <si>
    <t>3–4</t>
  </si>
  <si>
    <t>5–10</t>
  </si>
  <si>
    <t>11–15</t>
  </si>
  <si>
    <t>16–19</t>
  </si>
  <si>
    <t>20–29</t>
  </si>
  <si>
    <t>30–39</t>
  </si>
  <si>
    <t>40–59</t>
  </si>
  <si>
    <t>60–79</t>
  </si>
  <si>
    <t>80+</t>
  </si>
  <si>
    <t>Children</t>
  </si>
  <si>
    <t>0–4</t>
  </si>
  <si>
    <t>10 Sustainability</t>
  </si>
  <si>
    <t>10.6 Carbon Offsetting</t>
  </si>
  <si>
    <t>Carbon Offset Requirement</t>
  </si>
  <si>
    <t>Zero carbon shortfall</t>
  </si>
  <si>
    <t>tonnes of carbon dioxide per year</t>
  </si>
  <si>
    <t>Carbon offset</t>
  </si>
  <si>
    <t>zero carbon shortfall (tonnes of carbon dioxide per year) × £95 × 30 years</t>
  </si>
  <si>
    <t>10.7 Decentralised Energy Networks</t>
  </si>
  <si>
    <t>Planning obligation or financial contribution required for decentralised energy networks</t>
  </si>
  <si>
    <t>10.8 Biodiversity/Habitats</t>
  </si>
  <si>
    <t>Planning obligation or commuted sum required for biodiversity/habitat works, restrictions or monitoring</t>
  </si>
  <si>
    <t>10.11 Flood Risk</t>
  </si>
  <si>
    <t>Planning obligation or commuted sum required for flood risk measures</t>
  </si>
  <si>
    <t>10.17 Air Quality</t>
  </si>
  <si>
    <t>Building and Transport Emissions</t>
  </si>
  <si>
    <r>
      <t>NO</t>
    </r>
    <r>
      <rPr>
        <b/>
        <vertAlign val="subscript"/>
        <sz val="10"/>
        <color theme="1"/>
        <rFont val="Tahoma"/>
        <family val="2"/>
        <scheme val="major"/>
      </rPr>
      <t>x</t>
    </r>
  </si>
  <si>
    <t>kg/annum</t>
  </si>
  <si>
    <t xml:space="preserve">Emission benchmark </t>
  </si>
  <si>
    <t>Emissions</t>
  </si>
  <si>
    <t>Excess</t>
  </si>
  <si>
    <r>
      <t>PM</t>
    </r>
    <r>
      <rPr>
        <b/>
        <vertAlign val="subscript"/>
        <sz val="10"/>
        <color theme="1"/>
        <rFont val="Tahoma"/>
        <family val="2"/>
        <scheme val="major"/>
      </rPr>
      <t>10</t>
    </r>
  </si>
  <si>
    <t>Emission benchmark</t>
  </si>
  <si>
    <t>Mitigation or Financial Contribution Requirement</t>
  </si>
  <si>
    <t>Mitigation or financial contribution required</t>
  </si>
  <si>
    <t>Financial Contribution</t>
  </si>
  <si>
    <t>The air quality impacts of the new development will be fully mitigated</t>
  </si>
  <si>
    <t>Financial contribution required</t>
  </si>
  <si>
    <t>Air quality fund contribution</t>
  </si>
  <si>
    <r>
      <t>(£29,000 × excess t of NO</t>
    </r>
    <r>
      <rPr>
        <b/>
        <vertAlign val="subscript"/>
        <sz val="10"/>
        <color theme="0"/>
        <rFont val="Tahoma"/>
        <family val="2"/>
        <scheme val="major"/>
      </rPr>
      <t>x</t>
    </r>
    <r>
      <rPr>
        <b/>
        <sz val="10"/>
        <color theme="0"/>
        <rFont val="Tahoma"/>
        <family val="2"/>
        <scheme val="major"/>
      </rPr>
      <t>) + (£192,456 × excess t of PM</t>
    </r>
    <r>
      <rPr>
        <b/>
        <vertAlign val="subscript"/>
        <sz val="10"/>
        <color theme="0"/>
        <rFont val="Tahoma"/>
        <family val="2"/>
        <scheme val="major"/>
      </rPr>
      <t>10</t>
    </r>
    <r>
      <rPr>
        <b/>
        <sz val="10"/>
        <color theme="0"/>
        <rFont val="Tahoma"/>
        <family val="2"/>
        <scheme val="major"/>
      </rPr>
      <t>)</t>
    </r>
  </si>
  <si>
    <r>
      <rPr>
        <b/>
        <sz val="10"/>
        <color theme="0"/>
        <rFont val="Tahoma"/>
        <family val="2"/>
        <scheme val="minor"/>
      </rPr>
      <t>(£29,000 × (excess kg of NO</t>
    </r>
    <r>
      <rPr>
        <b/>
        <vertAlign val="subscript"/>
        <sz val="10"/>
        <color theme="0"/>
        <rFont val="Tahoma"/>
        <family val="2"/>
        <scheme val="minor"/>
      </rPr>
      <t>x</t>
    </r>
    <r>
      <rPr>
        <b/>
        <sz val="10"/>
        <color theme="0"/>
        <rFont val="Tahoma"/>
        <family val="2"/>
        <scheme val="minor"/>
      </rPr>
      <t xml:space="preserve"> / 1,000)) + (£192,456 × (excess kg of PM</t>
    </r>
    <r>
      <rPr>
        <b/>
        <vertAlign val="subscript"/>
        <sz val="10"/>
        <color theme="0"/>
        <rFont val="Tahoma"/>
        <family val="2"/>
        <scheme val="minor"/>
      </rPr>
      <t>10</t>
    </r>
    <r>
      <rPr>
        <b/>
        <sz val="10"/>
        <color theme="0"/>
        <rFont val="Tahoma"/>
        <family val="2"/>
        <scheme val="minor"/>
      </rPr>
      <t xml:space="preserve"> / 1,000))</t>
    </r>
  </si>
  <si>
    <t>10.21 Street Cleansing—Construction Phase</t>
  </si>
  <si>
    <t>The proposal has a street cleansing impact that cannot be mitigated and contained wholly on site</t>
  </si>
  <si>
    <t>12 Historic Environment</t>
  </si>
  <si>
    <t>Historic environment impact is directly linked as a consequence of the development site and requires mitigation</t>
  </si>
  <si>
    <t>Historic environment contribution required</t>
  </si>
  <si>
    <t>13 CCTV</t>
  </si>
  <si>
    <t>Provision of CCTV cameras, connection to the Council's network or commuted sum required</t>
  </si>
  <si>
    <t>CCTV contribution required</t>
  </si>
  <si>
    <t>4.10 Section 106 Monitoring Fee</t>
  </si>
  <si>
    <t>Yes</t>
  </si>
  <si>
    <t>Applies to all section 106 agreements</t>
  </si>
  <si>
    <t>Calculations</t>
  </si>
  <si>
    <t>Monitoring fee at time of agreement</t>
  </si>
  <si>
    <t>officer time (h) × hourly rate (£)</t>
  </si>
  <si>
    <t>Monitoring fee at time of payment</t>
  </si>
  <si>
    <t>monitoring fee at time of agreement × indexation</t>
  </si>
  <si>
    <t>Inputs</t>
  </si>
  <si>
    <t>Hourly Rate</t>
  </si>
  <si>
    <t>per hour</t>
  </si>
  <si>
    <t>Set annually by Wandsworth Council</t>
  </si>
  <si>
    <t>Officer Time</t>
  </si>
  <si>
    <t>A + (B × 1.5) + (C × 1.5) + (D × 4)</t>
  </si>
  <si>
    <t>For clarity, the indexation component of the formula (× (E × F)) has been shown separately, under 'Indexation', below</t>
  </si>
  <si>
    <t>Development type multiplier</t>
  </si>
  <si>
    <t>Number of non-financial obligations</t>
  </si>
  <si>
    <t>Number of financial obligations</t>
  </si>
  <si>
    <t>Number of demand notices required for all financial obligation categories</t>
  </si>
  <si>
    <t>Development Type Multiplier</t>
  </si>
  <si>
    <t>Development Size and Type</t>
  </si>
  <si>
    <t>Assumed Delivery Timescale in
Years (G)</t>
  </si>
  <si>
    <t>Hours per Scheme per Year (H)</t>
  </si>
  <si>
    <t>Development Type Multiplier
(A = G × H)</t>
  </si>
  <si>
    <t>The development type multiplier is shown shaded dark grey in this table, calculated based on the data entered on the 'Development Details' sheet. If any required data is missing from that sheet, the calculation will produce an error.</t>
  </si>
  <si>
    <t>Residential</t>
  </si>
  <si>
    <t>Proposed Dwellings</t>
  </si>
  <si>
    <t>R1</t>
  </si>
  <si>
    <t>Less than 10</t>
  </si>
  <si>
    <t>R2</t>
  </si>
  <si>
    <t>10–49</t>
  </si>
  <si>
    <t>R3</t>
  </si>
  <si>
    <t>50–99</t>
  </si>
  <si>
    <t>R4</t>
  </si>
  <si>
    <t>100–149</t>
  </si>
  <si>
    <t>R5</t>
  </si>
  <si>
    <t>150–199</t>
  </si>
  <si>
    <t>R6</t>
  </si>
  <si>
    <t>200 or more</t>
  </si>
  <si>
    <t>Non-Residential</t>
  </si>
  <si>
    <t>Proposed Floorspace (m²)</t>
  </si>
  <si>
    <t>NR1</t>
  </si>
  <si>
    <t>Less than 1,000</t>
  </si>
  <si>
    <t>NR2</t>
  </si>
  <si>
    <t>1,000–10,000</t>
  </si>
  <si>
    <t>NR3</t>
  </si>
  <si>
    <t>10,000 or more</t>
  </si>
  <si>
    <t>Indexation</t>
  </si>
  <si>
    <t>the greater of 1 and (E / F)</t>
  </si>
  <si>
    <t>BCIS Index on the date when the section 106 monitoring fee is paid</t>
  </si>
  <si>
    <t>Date:</t>
  </si>
  <si>
    <t>The BCIS Index is available from Wandsworth Council</t>
  </si>
  <si>
    <t>BCIS Index on the date when the section 106 agreement is completed</t>
  </si>
  <si>
    <t>Summary</t>
  </si>
  <si>
    <t>May apply</t>
  </si>
  <si>
    <t>Negotiating and Monitoring Section 106 Obligations</t>
  </si>
  <si>
    <t>4.13</t>
  </si>
  <si>
    <t>6.12</t>
  </si>
  <si>
    <t>6.13</t>
  </si>
  <si>
    <t>Employment and Skills Plan Contribution</t>
  </si>
  <si>
    <t>6.14</t>
  </si>
  <si>
    <t>General Requirement</t>
  </si>
  <si>
    <t>Public Arts Contribution</t>
  </si>
  <si>
    <t>Arts and Cultural Infrastructure Contribution</t>
  </si>
  <si>
    <t>Refer to the Supplementary Planning Document</t>
  </si>
  <si>
    <t>Mitigation or Financial Contribution Required</t>
  </si>
  <si>
    <t>Air Quality Fund Contribution</t>
  </si>
  <si>
    <t>Development Size and Type Code</t>
  </si>
  <si>
    <t>Non-residential</t>
  </si>
  <si>
    <t>No</t>
  </si>
  <si>
    <t>Development Matrix</t>
  </si>
  <si>
    <t>Development:</t>
  </si>
  <si>
    <t>App No.</t>
  </si>
  <si>
    <t>Number of Bedrooms</t>
  </si>
  <si>
    <t>5+</t>
  </si>
  <si>
    <t>Social Rented</t>
  </si>
  <si>
    <t>Affordable</t>
  </si>
  <si>
    <t>Affordable Split</t>
  </si>
  <si>
    <t>1.  Type in Development Name and/or Application Number</t>
  </si>
  <si>
    <t>2.  Enter proposed number of dwellings of each size, type and tenure into matrix.</t>
  </si>
  <si>
    <t>3.  Press button 'Calculate Population Yield'.</t>
  </si>
  <si>
    <t>Population Yield (Initial)</t>
  </si>
  <si>
    <t>Population Yield (Over time)</t>
  </si>
  <si>
    <t>0-2</t>
  </si>
  <si>
    <t>3-4</t>
  </si>
  <si>
    <t>5-10</t>
  </si>
  <si>
    <t>11-15</t>
  </si>
  <si>
    <t>16-19</t>
  </si>
  <si>
    <t>20-29</t>
  </si>
  <si>
    <t>30-39</t>
  </si>
  <si>
    <t>40-59</t>
  </si>
  <si>
    <t>60-79</t>
  </si>
  <si>
    <t>Child Yield (Initial)</t>
  </si>
  <si>
    <t>Child Yield (Over time)</t>
  </si>
  <si>
    <t>0-4</t>
  </si>
  <si>
    <t>Source: 2004 New Housing Survey</t>
  </si>
  <si>
    <t>Source: 2007 New Housing Re-Survey (2004 Sites Only)</t>
  </si>
  <si>
    <t>2004 Sites Original Survey Yield</t>
  </si>
  <si>
    <t>MARKET FLATS (Owner Occupied &amp; Rent Private)</t>
  </si>
  <si>
    <t>MARKET HOUSES (Owner Occupied &amp; Rent Private)</t>
  </si>
  <si>
    <t>Market Assumptions</t>
  </si>
  <si>
    <t>0 bed flats = yield 1 bed flats</t>
  </si>
  <si>
    <t>5+ bed flats = yield 4 bed flats</t>
  </si>
  <si>
    <t>0 bed houses = yield 1 bed houses</t>
  </si>
  <si>
    <t>Part-own/Part-rent Flats</t>
  </si>
  <si>
    <t>Part-own/Part-rent Houses</t>
  </si>
  <si>
    <t>Intermediate Assumptions</t>
  </si>
  <si>
    <t>3 bed flats = yield 2 bed flats</t>
  </si>
  <si>
    <t>4+ bed flats = yield 3 bed houses</t>
  </si>
  <si>
    <t>0 bed houses = yield 0 bed flats</t>
  </si>
  <si>
    <t>1 bed houses = yield 1 bed flats</t>
  </si>
  <si>
    <t>4+ bed houses = yield 3 bed houses</t>
  </si>
  <si>
    <t>Rent Housing Association Flats</t>
  </si>
  <si>
    <t>Rent Housing Association Houses</t>
  </si>
  <si>
    <t>Social Rent Assumptions</t>
  </si>
  <si>
    <t>2 bed houses = yield 2 bed flats</t>
  </si>
  <si>
    <t>5+ bed houses = yield 4 bed houses</t>
  </si>
  <si>
    <t xml:space="preserve">Source: 2004 New Housing Survey </t>
  </si>
  <si>
    <t>Wandsworth Council does not accept any responsibility for loss or liability occasioned as a result of usage of this data.  It is provided for information only.</t>
  </si>
  <si>
    <t>These data have been provided to you for the sole use of your organisation and in some instances for specific projects.  
Data must not be passed onto any other organisation or individual without prior permission from Wandsworth Council.</t>
  </si>
  <si>
    <t>Contact: Christine Cook, 020 8871 7177, ccook@wandsworth.gov.uk</t>
  </si>
  <si>
    <t>Borough Planner's Service, Wandsworth Council, London, SW18 2PU.</t>
  </si>
  <si>
    <t>2004 Sites 2007 Re-Survey Yield</t>
  </si>
  <si>
    <t>4 bed flats = yield 3 bed flats</t>
  </si>
  <si>
    <t>5+ bed flats = yield 4 bed houses</t>
  </si>
  <si>
    <t>Source: 2007 New Housing Re-Survey (Sites originally surveyed in 2004 only)</t>
  </si>
  <si>
    <t>Type</t>
  </si>
  <si>
    <t>Message</t>
  </si>
  <si>
    <t>Inputs still required</t>
  </si>
  <si>
    <t>No requirement</t>
  </si>
  <si>
    <t>Not included in calculator</t>
  </si>
  <si>
    <t>No requirement in document</t>
  </si>
  <si>
    <t>Not included in summary</t>
  </si>
  <si>
    <t>Calculator Version Date: 21/03/2024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</si>
</sst>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
    <numFmt numFmtId="167" formatCode="#,##0.000"/>
  </numFmts>
  <fonts count="48" x14ac:knownFonts="1">
    <font>
      <sz val="10"/>
      <color theme="1"/>
      <name val="Tahoma"/>
      <family val="2"/>
      <scheme val="minor"/>
    </font>
    <font>
      <sz val="10"/>
      <color theme="1"/>
      <name val="Arial"/>
      <family val="2"/>
    </font>
    <font>
      <sz val="10"/>
      <color theme="1"/>
      <name val="Arial"/>
      <family val="2"/>
    </font>
    <font>
      <b/>
      <sz val="10"/>
      <color theme="0"/>
      <name val="Arial"/>
      <family val="2"/>
    </font>
    <font>
      <b/>
      <sz val="10"/>
      <color theme="1"/>
      <name val="Arial"/>
      <family val="2"/>
    </font>
    <font>
      <b/>
      <sz val="9"/>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b/>
      <sz val="10"/>
      <name val="Arial"/>
      <family val="2"/>
    </font>
    <font>
      <sz val="8"/>
      <name val="Arial"/>
      <family val="2"/>
    </font>
    <font>
      <b/>
      <sz val="8"/>
      <name val="Arial"/>
      <family val="2"/>
    </font>
    <font>
      <b/>
      <sz val="8"/>
      <color indexed="10"/>
      <name val="Arial"/>
      <family val="2"/>
    </font>
    <font>
      <b/>
      <sz val="16"/>
      <name val="Arial"/>
      <family val="2"/>
    </font>
    <font>
      <sz val="16"/>
      <name val="Arial"/>
      <family val="2"/>
    </font>
    <font>
      <sz val="14"/>
      <name val="Arial"/>
      <family val="2"/>
    </font>
    <font>
      <sz val="14"/>
      <color indexed="16"/>
      <name val="Arial"/>
      <family val="2"/>
    </font>
    <font>
      <u/>
      <sz val="14"/>
      <color indexed="16"/>
      <name val="Arial"/>
      <family val="2"/>
    </font>
    <font>
      <b/>
      <sz val="14"/>
      <color indexed="18"/>
      <name val="Arial"/>
      <family val="2"/>
    </font>
    <font>
      <b/>
      <sz val="14"/>
      <name val="Arial"/>
      <family val="2"/>
    </font>
    <font>
      <b/>
      <sz val="14"/>
      <color indexed="16"/>
      <name val="Arial"/>
      <family val="2"/>
    </font>
    <font>
      <sz val="12"/>
      <name val="Arial"/>
      <family val="2"/>
    </font>
    <font>
      <b/>
      <sz val="18"/>
      <color indexed="16"/>
      <name val="Arial"/>
      <family val="2"/>
    </font>
    <font>
      <sz val="10"/>
      <name val="Arial"/>
      <family val="2"/>
    </font>
    <font>
      <sz val="10"/>
      <color theme="1"/>
      <name val="Tahoma"/>
      <family val="2"/>
      <scheme val="minor"/>
    </font>
    <font>
      <b/>
      <sz val="15"/>
      <color theme="3"/>
      <name val="Tahoma"/>
      <family val="2"/>
      <scheme val="major"/>
    </font>
    <font>
      <u/>
      <sz val="10"/>
      <color theme="10"/>
      <name val="Tahoma"/>
      <family val="2"/>
      <scheme val="minor"/>
    </font>
    <font>
      <u/>
      <sz val="10"/>
      <color theme="11"/>
      <name val="Tahoma"/>
      <family val="2"/>
      <scheme val="minor"/>
    </font>
    <font>
      <b/>
      <sz val="10"/>
      <color theme="1"/>
      <name val="Tahoma"/>
      <family val="2"/>
      <scheme val="major"/>
    </font>
    <font>
      <b/>
      <sz val="13"/>
      <color theme="3"/>
      <name val="Tahoma"/>
      <family val="2"/>
      <scheme val="major"/>
    </font>
    <font>
      <i/>
      <sz val="10"/>
      <color rgb="FF7F7F7F"/>
      <name val="Tahoma"/>
      <family val="2"/>
      <scheme val="minor"/>
    </font>
    <font>
      <b/>
      <u/>
      <sz val="10"/>
      <color theme="10"/>
      <name val="Tahoma"/>
      <family val="2"/>
      <scheme val="minor"/>
    </font>
    <font>
      <b/>
      <sz val="10"/>
      <color theme="1"/>
      <name val="Tahoma"/>
      <family val="2"/>
      <scheme val="minor"/>
    </font>
    <font>
      <b/>
      <sz val="17"/>
      <color theme="3"/>
      <name val="Tahoma"/>
      <family val="2"/>
      <scheme val="major"/>
    </font>
    <font>
      <b/>
      <sz val="10"/>
      <color theme="0"/>
      <name val="Tahoma"/>
      <family val="2"/>
      <scheme val="minor"/>
    </font>
    <font>
      <sz val="10"/>
      <color theme="0"/>
      <name val="Tahoma"/>
      <family val="2"/>
      <scheme val="minor"/>
    </font>
    <font>
      <b/>
      <sz val="10"/>
      <color theme="3"/>
      <name val="Tahoma"/>
      <family val="2"/>
      <scheme val="major"/>
    </font>
    <font>
      <b/>
      <sz val="10"/>
      <color theme="0"/>
      <name val="Tahoma"/>
      <family val="2"/>
      <scheme val="major"/>
    </font>
    <font>
      <i/>
      <sz val="10"/>
      <color theme="1"/>
      <name val="Tahoma"/>
      <family val="2"/>
      <scheme val="minor"/>
    </font>
    <font>
      <sz val="10"/>
      <color rgb="FF7F7F7F"/>
      <name val="Tahoma"/>
      <family val="2"/>
      <scheme val="minor"/>
    </font>
    <font>
      <b/>
      <vertAlign val="subscript"/>
      <sz val="10"/>
      <color theme="1"/>
      <name val="Tahoma"/>
      <family val="2"/>
      <scheme val="major"/>
    </font>
    <font>
      <b/>
      <vertAlign val="subscript"/>
      <sz val="10"/>
      <color theme="0"/>
      <name val="Tahoma"/>
      <family val="2"/>
      <scheme val="major"/>
    </font>
    <font>
      <b/>
      <vertAlign val="subscript"/>
      <sz val="10"/>
      <color theme="0"/>
      <name val="Tahoma"/>
      <family val="2"/>
      <scheme val="minor"/>
    </font>
  </fonts>
  <fills count="1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9"/>
        <bgColor indexed="64"/>
      </patternFill>
    </fill>
    <fill>
      <patternFill patternType="solid">
        <fgColor indexed="22"/>
        <bgColor indexed="64"/>
      </patternFill>
    </fill>
    <fill>
      <patternFill patternType="solid">
        <fgColor theme="8"/>
        <bgColor indexed="64"/>
      </patternFill>
    </fill>
    <fill>
      <patternFill patternType="solid">
        <fgColor theme="6"/>
        <bgColor indexed="64"/>
      </patternFill>
    </fill>
  </fills>
  <borders count="53">
    <border>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style="thin">
        <color auto="1"/>
      </right>
      <top/>
      <bottom style="medium">
        <color auto="1"/>
      </bottom>
      <diagonal/>
    </border>
    <border>
      <left/>
      <right/>
      <top style="thin">
        <color auto="1"/>
      </top>
      <bottom/>
      <diagonal/>
    </border>
    <border>
      <left/>
      <right/>
      <top style="medium">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top style="medium">
        <color auto="1"/>
      </top>
      <bottom style="thick">
        <color auto="1"/>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medium">
        <color auto="1"/>
      </bottom>
      <diagonal/>
    </border>
    <border>
      <left/>
      <right/>
      <top/>
      <bottom style="thick">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ck">
        <color theme="4"/>
      </bottom>
      <diagonal/>
    </border>
    <border>
      <left/>
      <right style="thin">
        <color theme="3"/>
      </right>
      <top/>
      <bottom style="thick">
        <color theme="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auto="1"/>
      </right>
      <top style="medium">
        <color auto="1"/>
      </top>
      <bottom style="medium">
        <color auto="1"/>
      </bottom>
      <diagonal/>
    </border>
    <border>
      <left/>
      <right/>
      <top style="thick">
        <color auto="1"/>
      </top>
      <bottom style="medium">
        <color auto="1"/>
      </bottom>
      <diagonal/>
    </border>
  </borders>
  <cellStyleXfs count="30">
    <xf numFmtId="0" fontId="0" fillId="2" borderId="0"/>
    <xf numFmtId="0" fontId="38" fillId="0" borderId="0" applyNumberFormat="0" applyFill="0" applyBorder="0" applyAlignment="0" applyProtection="0"/>
    <xf numFmtId="0" fontId="30" fillId="0" borderId="40" applyNumberFormat="0" applyFill="0" applyAlignment="0" applyProtection="0"/>
    <xf numFmtId="0" fontId="34" fillId="0" borderId="0" applyNumberFormat="0" applyFill="0" applyAlignment="0" applyProtection="0"/>
    <xf numFmtId="0" fontId="41" fillId="0" borderId="0" applyNumberFormat="0" applyFill="0" applyAlignment="0" applyProtection="0"/>
    <xf numFmtId="0" fontId="35" fillId="0" borderId="0" applyNumberFormat="0" applyFill="0" applyBorder="0" applyAlignment="0" applyProtection="0">
      <alignment vertical="center" wrapText="1"/>
    </xf>
    <xf numFmtId="0" fontId="1" fillId="14" borderId="0" applyNumberFormat="0" applyFont="0" applyAlignment="0">
      <protection locked="0"/>
    </xf>
    <xf numFmtId="0" fontId="31" fillId="0" borderId="0" applyNumberFormat="0" applyFill="0" applyBorder="0" applyAlignment="0">
      <protection locked="0"/>
    </xf>
    <xf numFmtId="0" fontId="32" fillId="0" borderId="0" applyNumberFormat="0" applyFill="0" applyBorder="0" applyAlignment="0">
      <protection locked="0"/>
    </xf>
    <xf numFmtId="0" fontId="40" fillId="3" borderId="0" applyNumberFormat="0" applyBorder="0" applyAlignment="0" applyProtection="0">
      <alignment horizontal="left"/>
    </xf>
    <xf numFmtId="0" fontId="42" fillId="4" borderId="0" applyNumberFormat="0" applyBorder="0" applyAlignment="0" applyProtection="0"/>
    <xf numFmtId="0" fontId="5" fillId="0" borderId="0" applyNumberForma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9" applyNumberFormat="0" applyAlignment="0" applyProtection="0"/>
    <xf numFmtId="0" fontId="10" fillId="9" borderId="10" applyNumberFormat="0" applyAlignment="0" applyProtection="0"/>
    <xf numFmtId="0" fontId="11" fillId="9" borderId="9" applyNumberFormat="0" applyAlignment="0" applyProtection="0"/>
    <xf numFmtId="0" fontId="12" fillId="0" borderId="11" applyNumberFormat="0" applyFill="0" applyAlignment="0" applyProtection="0"/>
    <xf numFmtId="0" fontId="3" fillId="10" borderId="12" applyNumberFormat="0" applyAlignment="0" applyProtection="0"/>
    <xf numFmtId="0" fontId="13" fillId="0" borderId="0" applyNumberFormat="0" applyFill="0" applyBorder="0" applyAlignment="0" applyProtection="0"/>
    <xf numFmtId="0" fontId="2" fillId="11" borderId="13" applyNumberFormat="0" applyFont="0" applyAlignment="0" applyProtection="0"/>
    <xf numFmtId="0" fontId="40" fillId="4" borderId="0" applyBorder="0" applyAlignment="0" applyProtection="0"/>
    <xf numFmtId="0" fontId="37" fillId="2" borderId="0" applyNumberFormat="0" applyFill="0" applyBorder="0" applyAlignment="0" applyProtection="0"/>
    <xf numFmtId="0" fontId="2" fillId="15" borderId="0" applyNumberFormat="0" applyFont="0" applyBorder="0" applyAlignment="0" applyProtection="0">
      <alignment vertical="top"/>
    </xf>
    <xf numFmtId="0" fontId="2" fillId="2" borderId="2" applyNumberFormat="0" applyFont="0" applyFill="0" applyProtection="0">
      <alignment horizontal="left" vertical="center" wrapText="1"/>
    </xf>
    <xf numFmtId="0" fontId="2" fillId="2" borderId="0" applyNumberFormat="0" applyFont="0" applyFill="0" applyBorder="0" applyProtection="0">
      <alignment horizontal="left" vertical="center" wrapText="1" indent="1"/>
    </xf>
    <xf numFmtId="0" fontId="2" fillId="2" borderId="0" applyNumberFormat="0" applyFont="0" applyFill="0" applyBorder="0" applyProtection="0">
      <alignment horizontal="left" vertical="center" wrapText="1" indent="2"/>
    </xf>
    <xf numFmtId="0" fontId="33" fillId="2" borderId="1" applyNumberFormat="0" applyFill="0" applyProtection="0">
      <alignment horizontal="left" vertical="center" wrapText="1"/>
    </xf>
    <xf numFmtId="3" fontId="39" fillId="3" borderId="1" applyNumberFormat="0" applyBorder="0" applyAlignment="0" applyProtection="0"/>
  </cellStyleXfs>
  <cellXfs count="442">
    <xf numFmtId="0" fontId="0" fillId="2" borderId="0" xfId="0"/>
    <xf numFmtId="0" fontId="0" fillId="2" borderId="0" xfId="0" applyAlignment="1">
      <alignment horizontal="right"/>
    </xf>
    <xf numFmtId="0" fontId="4" fillId="2" borderId="0" xfId="0" applyFont="1"/>
    <xf numFmtId="0" fontId="34" fillId="2" borderId="0" xfId="3" applyFill="1"/>
    <xf numFmtId="0" fontId="0" fillId="2" borderId="0" xfId="0" quotePrefix="1" applyAlignment="1">
      <alignment horizontal="left" vertical="center" indent="1"/>
    </xf>
    <xf numFmtId="0" fontId="0" fillId="2" borderId="0" xfId="0" quotePrefix="1" applyAlignment="1">
      <alignment horizontal="left" vertical="center"/>
    </xf>
    <xf numFmtId="49" fontId="0" fillId="2" borderId="0" xfId="0" quotePrefix="1" applyNumberFormat="1" applyAlignment="1">
      <alignment horizontal="left" vertical="center"/>
    </xf>
    <xf numFmtId="0" fontId="0" fillId="2" borderId="0" xfId="0" applyAlignment="1">
      <alignment horizontal="left" vertical="center" indent="1"/>
    </xf>
    <xf numFmtId="0" fontId="0" fillId="2" borderId="0" xfId="0" applyAlignment="1">
      <alignment vertical="top" wrapText="1"/>
    </xf>
    <xf numFmtId="0" fontId="0" fillId="2" borderId="0" xfId="0" applyAlignment="1">
      <alignment vertical="top"/>
    </xf>
    <xf numFmtId="0" fontId="35" fillId="2" borderId="0" xfId="5" applyFill="1" applyAlignment="1">
      <alignment vertical="center" wrapText="1"/>
    </xf>
    <xf numFmtId="0" fontId="0" fillId="2" borderId="8" xfId="0" quotePrefix="1" applyBorder="1" applyAlignment="1">
      <alignment horizontal="left" vertical="center"/>
    </xf>
    <xf numFmtId="0" fontId="0" fillId="2" borderId="4" xfId="0" quotePrefix="1" applyBorder="1" applyAlignment="1">
      <alignment horizontal="left" vertical="center"/>
    </xf>
    <xf numFmtId="0" fontId="14" fillId="2" borderId="0" xfId="0" applyFont="1"/>
    <xf numFmtId="0" fontId="15" fillId="2" borderId="0" xfId="0" applyFont="1"/>
    <xf numFmtId="0" fontId="16" fillId="2" borderId="0" xfId="0" applyFont="1"/>
    <xf numFmtId="0" fontId="15" fillId="0" borderId="0" xfId="0" applyFont="1" applyFill="1"/>
    <xf numFmtId="0" fontId="16" fillId="0" borderId="18" xfId="0" applyFont="1" applyFill="1" applyBorder="1"/>
    <xf numFmtId="0" fontId="16" fillId="0" borderId="18" xfId="0" applyFont="1" applyFill="1" applyBorder="1" applyAlignment="1">
      <alignment horizontal="right"/>
    </xf>
    <xf numFmtId="0" fontId="16" fillId="0" borderId="19" xfId="0" applyFont="1" applyFill="1" applyBorder="1"/>
    <xf numFmtId="4" fontId="15" fillId="0" borderId="20" xfId="0" applyNumberFormat="1" applyFont="1" applyFill="1" applyBorder="1"/>
    <xf numFmtId="0" fontId="16" fillId="0" borderId="19" xfId="0" quotePrefix="1" applyFont="1" applyFill="1" applyBorder="1"/>
    <xf numFmtId="0" fontId="16" fillId="0" borderId="17" xfId="0" applyFont="1" applyFill="1" applyBorder="1"/>
    <xf numFmtId="4" fontId="16" fillId="0" borderId="18" xfId="0" applyNumberFormat="1" applyFont="1" applyFill="1" applyBorder="1"/>
    <xf numFmtId="2" fontId="16" fillId="0" borderId="18" xfId="0" applyNumberFormat="1" applyFont="1" applyFill="1" applyBorder="1"/>
    <xf numFmtId="0" fontId="16" fillId="0" borderId="0" xfId="0" applyFont="1" applyFill="1"/>
    <xf numFmtId="0" fontId="16" fillId="2" borderId="19" xfId="0" applyFont="1" applyBorder="1"/>
    <xf numFmtId="0" fontId="16" fillId="2" borderId="19" xfId="0" quotePrefix="1" applyFont="1" applyBorder="1"/>
    <xf numFmtId="0" fontId="16" fillId="2" borderId="17" xfId="0" applyFont="1" applyBorder="1"/>
    <xf numFmtId="0" fontId="16" fillId="2" borderId="18" xfId="0" applyFont="1" applyBorder="1"/>
    <xf numFmtId="4" fontId="16" fillId="2" borderId="18" xfId="0" applyNumberFormat="1" applyFont="1" applyBorder="1"/>
    <xf numFmtId="0" fontId="18" fillId="12" borderId="0" xfId="0" applyFont="1" applyFill="1"/>
    <xf numFmtId="0" fontId="19" fillId="2" borderId="0" xfId="0" applyFont="1"/>
    <xf numFmtId="0" fontId="19" fillId="12" borderId="0" xfId="0" applyFont="1" applyFill="1"/>
    <xf numFmtId="0" fontId="20" fillId="12" borderId="0" xfId="0" applyFont="1" applyFill="1"/>
    <xf numFmtId="0" fontId="21" fillId="12" borderId="0" xfId="0" applyFont="1" applyFill="1"/>
    <xf numFmtId="0" fontId="22" fillId="12" borderId="0" xfId="0" applyFont="1" applyFill="1"/>
    <xf numFmtId="0" fontId="23" fillId="12" borderId="0" xfId="0" applyFont="1" applyFill="1"/>
    <xf numFmtId="0" fontId="23" fillId="12" borderId="0" xfId="0" applyFont="1" applyFill="1" applyAlignment="1">
      <alignment horizontal="center"/>
    </xf>
    <xf numFmtId="9" fontId="23" fillId="12" borderId="0" xfId="0" applyNumberFormat="1" applyFont="1" applyFill="1" applyAlignment="1">
      <alignment horizontal="center"/>
    </xf>
    <xf numFmtId="0" fontId="24" fillId="13" borderId="18" xfId="0" applyFont="1" applyFill="1" applyBorder="1"/>
    <xf numFmtId="0" fontId="20" fillId="13" borderId="18" xfId="0" applyFont="1" applyFill="1" applyBorder="1"/>
    <xf numFmtId="0" fontId="24" fillId="13" borderId="18" xfId="0" applyFont="1" applyFill="1" applyBorder="1" applyAlignment="1">
      <alignment horizontal="right"/>
    </xf>
    <xf numFmtId="0" fontId="20" fillId="13" borderId="18" xfId="0" applyFont="1" applyFill="1" applyBorder="1" applyAlignment="1">
      <alignment horizontal="left"/>
    </xf>
    <xf numFmtId="0" fontId="20" fillId="12" borderId="0" xfId="0" applyFont="1" applyFill="1" applyAlignment="1">
      <alignment horizontal="left"/>
    </xf>
    <xf numFmtId="0" fontId="26" fillId="12" borderId="0" xfId="0" applyFont="1" applyFill="1"/>
    <xf numFmtId="3" fontId="18" fillId="13" borderId="18" xfId="0" applyNumberFormat="1" applyFont="1" applyFill="1" applyBorder="1"/>
    <xf numFmtId="0" fontId="18" fillId="13" borderId="18" xfId="0" applyFont="1" applyFill="1" applyBorder="1"/>
    <xf numFmtId="2" fontId="19" fillId="2" borderId="18" xfId="0" applyNumberFormat="1" applyFont="1" applyBorder="1"/>
    <xf numFmtId="0" fontId="18" fillId="13" borderId="18" xfId="0" quotePrefix="1" applyFont="1" applyFill="1" applyBorder="1"/>
    <xf numFmtId="0" fontId="18" fillId="13" borderId="18" xfId="0" applyFont="1" applyFill="1" applyBorder="1" applyAlignment="1">
      <alignment horizontal="right"/>
    </xf>
    <xf numFmtId="0" fontId="18" fillId="13" borderId="18" xfId="0" applyFont="1" applyFill="1" applyBorder="1" applyAlignment="1">
      <alignment horizontal="left"/>
    </xf>
    <xf numFmtId="2" fontId="19" fillId="0" borderId="18" xfId="0" applyNumberFormat="1" applyFont="1" applyFill="1" applyBorder="1"/>
    <xf numFmtId="0" fontId="27" fillId="12" borderId="0" xfId="0" applyFont="1" applyFill="1" applyAlignment="1">
      <alignment horizontal="center"/>
    </xf>
    <xf numFmtId="0" fontId="16" fillId="2" borderId="18" xfId="0" applyFont="1" applyBorder="1" applyAlignment="1">
      <alignment horizontal="right"/>
    </xf>
    <xf numFmtId="3" fontId="21" fillId="0" borderId="18" xfId="0" applyNumberFormat="1" applyFont="1" applyFill="1" applyBorder="1" applyProtection="1">
      <protection locked="0"/>
    </xf>
    <xf numFmtId="0" fontId="0" fillId="2" borderId="0" xfId="0" applyAlignment="1">
      <alignment horizontal="center"/>
    </xf>
    <xf numFmtId="0" fontId="0" fillId="2" borderId="22" xfId="0" applyBorder="1"/>
    <xf numFmtId="0" fontId="0" fillId="2" borderId="6" xfId="0" applyBorder="1"/>
    <xf numFmtId="0" fontId="0" fillId="2" borderId="1" xfId="0" applyBorder="1"/>
    <xf numFmtId="0" fontId="0" fillId="2" borderId="6" xfId="0" applyBorder="1" applyAlignment="1">
      <alignment vertical="center"/>
    </xf>
    <xf numFmtId="0" fontId="4" fillId="2" borderId="3" xfId="0" applyFont="1" applyBorder="1" applyAlignment="1">
      <alignment wrapText="1"/>
    </xf>
    <xf numFmtId="0" fontId="0" fillId="2" borderId="2" xfId="0" applyBorder="1"/>
    <xf numFmtId="0" fontId="37" fillId="2" borderId="0" xfId="23"/>
    <xf numFmtId="0" fontId="0" fillId="2" borderId="0" xfId="0" applyAlignment="1">
      <alignment horizontal="left"/>
    </xf>
    <xf numFmtId="0" fontId="0" fillId="2" borderId="8" xfId="0" applyBorder="1" applyAlignment="1">
      <alignment horizontal="left"/>
    </xf>
    <xf numFmtId="0" fontId="0" fillId="2" borderId="7" xfId="0" applyBorder="1" applyAlignment="1">
      <alignment horizontal="left"/>
    </xf>
    <xf numFmtId="0" fontId="0" fillId="2" borderId="4" xfId="0" applyBorder="1" applyAlignment="1">
      <alignment horizontal="left"/>
    </xf>
    <xf numFmtId="0" fontId="4" fillId="2" borderId="0" xfId="0" applyFont="1" applyAlignment="1">
      <alignment horizontal="left"/>
    </xf>
    <xf numFmtId="0" fontId="0" fillId="2" borderId="0" xfId="0" applyAlignment="1">
      <alignment horizontal="center" vertical="center"/>
    </xf>
    <xf numFmtId="0" fontId="33" fillId="2" borderId="1" xfId="28">
      <alignment horizontal="left" vertical="center" wrapText="1"/>
    </xf>
    <xf numFmtId="0" fontId="4" fillId="2" borderId="1" xfId="0" applyFont="1" applyBorder="1" applyAlignment="1">
      <alignment horizontal="center"/>
    </xf>
    <xf numFmtId="0" fontId="31" fillId="2" borderId="8" xfId="7" applyFill="1" applyBorder="1" applyAlignment="1">
      <alignment horizontal="center"/>
      <protection locked="0"/>
    </xf>
    <xf numFmtId="0" fontId="31" fillId="2" borderId="6" xfId="7" applyFill="1" applyBorder="1" applyAlignment="1">
      <alignment horizontal="center"/>
      <protection locked="0"/>
    </xf>
    <xf numFmtId="0" fontId="31" fillId="2" borderId="22" xfId="7" applyFill="1" applyBorder="1" applyAlignment="1">
      <alignment horizontal="center"/>
      <protection locked="0"/>
    </xf>
    <xf numFmtId="0" fontId="31" fillId="2" borderId="2" xfId="7" applyFill="1" applyBorder="1" applyAlignment="1">
      <alignment horizontal="center"/>
      <protection locked="0"/>
    </xf>
    <xf numFmtId="0" fontId="31" fillId="2" borderId="8" xfId="7" applyFill="1" applyBorder="1" applyAlignment="1">
      <alignment horizontal="center" vertical="center"/>
      <protection locked="0"/>
    </xf>
    <xf numFmtId="0" fontId="31" fillId="2" borderId="4" xfId="7" applyFill="1" applyBorder="1" applyAlignment="1">
      <alignment horizontal="center" vertical="center"/>
      <protection locked="0"/>
    </xf>
    <xf numFmtId="0" fontId="0" fillId="2" borderId="0" xfId="25" applyFont="1" applyBorder="1">
      <alignment horizontal="left" vertical="center" wrapText="1"/>
    </xf>
    <xf numFmtId="0" fontId="0" fillId="2" borderId="8" xfId="26" quotePrefix="1" applyFont="1" applyBorder="1">
      <alignment horizontal="left" vertical="center" wrapText="1" indent="1"/>
    </xf>
    <xf numFmtId="0" fontId="0" fillId="2" borderId="4" xfId="26" quotePrefix="1" applyFont="1" applyBorder="1">
      <alignment horizontal="left" vertical="center" wrapText="1" indent="1"/>
    </xf>
    <xf numFmtId="0" fontId="0" fillId="2" borderId="7" xfId="25" quotePrefix="1" applyFont="1" applyBorder="1">
      <alignment horizontal="left" vertical="center" wrapText="1"/>
    </xf>
    <xf numFmtId="0" fontId="0" fillId="2" borderId="36" xfId="25" quotePrefix="1" applyFont="1" applyBorder="1">
      <alignment horizontal="left" vertical="center" wrapText="1"/>
    </xf>
    <xf numFmtId="3" fontId="0" fillId="14" borderId="8" xfId="6" applyNumberFormat="1" applyFont="1" applyBorder="1">
      <protection locked="0"/>
    </xf>
    <xf numFmtId="3" fontId="0" fillId="14" borderId="7" xfId="6" applyNumberFormat="1" applyFont="1" applyBorder="1">
      <protection locked="0"/>
    </xf>
    <xf numFmtId="0" fontId="0" fillId="2" borderId="7" xfId="0" applyBorder="1"/>
    <xf numFmtId="0" fontId="4" fillId="2" borderId="1" xfId="0" applyFont="1" applyBorder="1"/>
    <xf numFmtId="3" fontId="0" fillId="14" borderId="6" xfId="6" applyNumberFormat="1" applyFont="1" applyBorder="1">
      <protection locked="0"/>
    </xf>
    <xf numFmtId="0" fontId="35" fillId="2" borderId="0" xfId="5" applyFill="1" applyAlignment="1">
      <alignment vertical="center"/>
    </xf>
    <xf numFmtId="3" fontId="0" fillId="14" borderId="22" xfId="6" applyNumberFormat="1" applyFont="1" applyBorder="1">
      <protection locked="0"/>
    </xf>
    <xf numFmtId="0" fontId="0" fillId="2" borderId="41" xfId="0" applyBorder="1"/>
    <xf numFmtId="0" fontId="0" fillId="2" borderId="42" xfId="0" applyBorder="1"/>
    <xf numFmtId="0" fontId="0" fillId="2" borderId="43" xfId="0" applyBorder="1"/>
    <xf numFmtId="0" fontId="0" fillId="2" borderId="44" xfId="0" applyBorder="1"/>
    <xf numFmtId="0" fontId="0" fillId="2" borderId="45" xfId="0" applyBorder="1"/>
    <xf numFmtId="0" fontId="30" fillId="2" borderId="46" xfId="2" applyFill="1" applyBorder="1"/>
    <xf numFmtId="0" fontId="30" fillId="2" borderId="40" xfId="2" applyFill="1"/>
    <xf numFmtId="0" fontId="30" fillId="2" borderId="47" xfId="2" applyFill="1" applyBorder="1"/>
    <xf numFmtId="0" fontId="0" fillId="2" borderId="0" xfId="0" quotePrefix="1"/>
    <xf numFmtId="0" fontId="37" fillId="2" borderId="0" xfId="23" applyFill="1" applyBorder="1"/>
    <xf numFmtId="0" fontId="37" fillId="2" borderId="0" xfId="23" quotePrefix="1" applyFill="1" applyBorder="1"/>
    <xf numFmtId="0" fontId="0" fillId="2" borderId="48" xfId="0" applyBorder="1"/>
    <xf numFmtId="0" fontId="0" fillId="2" borderId="49" xfId="0" applyBorder="1"/>
    <xf numFmtId="0" fontId="0" fillId="2" borderId="50" xfId="0" applyBorder="1"/>
    <xf numFmtId="0" fontId="30" fillId="2" borderId="40" xfId="2" applyFill="1" applyAlignment="1"/>
    <xf numFmtId="0" fontId="0" fillId="2" borderId="42" xfId="0" applyBorder="1" applyAlignment="1">
      <alignment horizontal="center"/>
    </xf>
    <xf numFmtId="0" fontId="30" fillId="2" borderId="40" xfId="2" applyFill="1" applyAlignment="1">
      <alignment horizontal="left"/>
    </xf>
    <xf numFmtId="0" fontId="0" fillId="2" borderId="0" xfId="0" quotePrefix="1" applyAlignment="1">
      <alignment horizontal="left" vertical="top"/>
    </xf>
    <xf numFmtId="0" fontId="0" fillId="2" borderId="0" xfId="0" applyAlignment="1">
      <alignment horizontal="left" vertical="top"/>
    </xf>
    <xf numFmtId="0" fontId="0" fillId="2" borderId="49" xfId="0" applyBorder="1" applyAlignment="1">
      <alignment horizontal="center"/>
    </xf>
    <xf numFmtId="0" fontId="34" fillId="2" borderId="42" xfId="3" applyFill="1" applyBorder="1" applyAlignment="1">
      <alignment horizontal="left" vertical="top"/>
    </xf>
    <xf numFmtId="0" fontId="0" fillId="2" borderId="42" xfId="0" applyBorder="1" applyAlignment="1">
      <alignment vertical="top" wrapText="1"/>
    </xf>
    <xf numFmtId="0" fontId="34" fillId="2" borderId="42" xfId="3" quotePrefix="1" applyFill="1" applyBorder="1" applyAlignment="1">
      <alignment horizontal="left" vertical="top"/>
    </xf>
    <xf numFmtId="0" fontId="34" fillId="2" borderId="42" xfId="3" applyFill="1" applyBorder="1" applyAlignment="1">
      <alignment vertical="top" wrapText="1"/>
    </xf>
    <xf numFmtId="0" fontId="0" fillId="14" borderId="0" xfId="6" applyFont="1" applyAlignment="1">
      <alignment horizontal="left"/>
      <protection locked="0"/>
    </xf>
    <xf numFmtId="0" fontId="0" fillId="14" borderId="0" xfId="6" applyFont="1" applyAlignment="1">
      <alignment horizontal="left" vertical="top" wrapText="1"/>
      <protection locked="0"/>
    </xf>
    <xf numFmtId="14" fontId="0" fillId="14" borderId="0" xfId="6" applyNumberFormat="1" applyFont="1" applyAlignment="1">
      <alignment horizontal="left"/>
      <protection locked="0"/>
    </xf>
    <xf numFmtId="0" fontId="34" fillId="2" borderId="45" xfId="3" applyFill="1" applyBorder="1"/>
    <xf numFmtId="0" fontId="35" fillId="2" borderId="0" xfId="5" applyFill="1" applyBorder="1">
      <alignment vertical="center" wrapText="1"/>
    </xf>
    <xf numFmtId="0" fontId="41" fillId="2" borderId="0" xfId="4" applyFill="1"/>
    <xf numFmtId="0" fontId="0" fillId="14" borderId="0" xfId="6" applyFont="1" applyAlignment="1">
      <alignment vertical="center"/>
      <protection locked="0"/>
    </xf>
    <xf numFmtId="0" fontId="35" fillId="2" borderId="0" xfId="5" applyFill="1" applyBorder="1" applyAlignment="1">
      <alignment vertical="center" wrapText="1"/>
    </xf>
    <xf numFmtId="0" fontId="35" fillId="2" borderId="0" xfId="5" quotePrefix="1" applyFill="1" applyBorder="1" applyAlignment="1">
      <alignment vertical="top" wrapText="1"/>
    </xf>
    <xf numFmtId="0" fontId="0" fillId="2" borderId="0" xfId="0" applyAlignment="1">
      <alignment vertical="center"/>
    </xf>
    <xf numFmtId="0" fontId="35" fillId="2" borderId="45" xfId="5" applyFill="1" applyBorder="1" applyAlignment="1">
      <alignment vertical="center" wrapText="1"/>
    </xf>
    <xf numFmtId="0" fontId="0" fillId="2" borderId="0" xfId="0" applyAlignment="1">
      <alignment vertical="center" wrapText="1"/>
    </xf>
    <xf numFmtId="0" fontId="41" fillId="2" borderId="0" xfId="4" applyFill="1" applyAlignment="1">
      <alignment vertical="center"/>
    </xf>
    <xf numFmtId="0" fontId="34" fillId="2" borderId="42" xfId="3" applyFill="1" applyBorder="1"/>
    <xf numFmtId="0" fontId="34" fillId="2" borderId="43" xfId="3" applyFill="1" applyBorder="1"/>
    <xf numFmtId="49" fontId="37" fillId="2" borderId="0" xfId="0" applyNumberFormat="1" applyFont="1" applyAlignment="1">
      <alignment horizontal="right" vertical="center"/>
    </xf>
    <xf numFmtId="49" fontId="37" fillId="2" borderId="0" xfId="0" applyNumberFormat="1" applyFont="1" applyAlignment="1">
      <alignment horizontal="right" vertical="center" wrapText="1"/>
    </xf>
    <xf numFmtId="3" fontId="39" fillId="3" borderId="7" xfId="9" applyNumberFormat="1" applyFont="1" applyBorder="1" applyAlignment="1"/>
    <xf numFmtId="3" fontId="39" fillId="3" borderId="8" xfId="9" applyNumberFormat="1" applyFont="1" applyBorder="1" applyAlignment="1"/>
    <xf numFmtId="3" fontId="39" fillId="3" borderId="6" xfId="9" applyNumberFormat="1" applyFont="1" applyBorder="1" applyAlignment="1"/>
    <xf numFmtId="3" fontId="40" fillId="3" borderId="1" xfId="9" applyNumberFormat="1" applyBorder="1" applyAlignment="1"/>
    <xf numFmtId="3" fontId="39" fillId="3" borderId="1" xfId="9" applyNumberFormat="1" applyFont="1" applyBorder="1" applyAlignment="1"/>
    <xf numFmtId="3" fontId="39" fillId="3" borderId="22" xfId="9" applyNumberFormat="1" applyFont="1" applyBorder="1" applyAlignment="1"/>
    <xf numFmtId="3" fontId="39" fillId="3" borderId="3" xfId="9" applyNumberFormat="1" applyFont="1" applyBorder="1" applyAlignment="1"/>
    <xf numFmtId="3" fontId="40" fillId="3" borderId="0" xfId="9" applyNumberFormat="1" applyBorder="1" applyAlignment="1">
      <alignment horizontal="center"/>
    </xf>
    <xf numFmtId="0" fontId="40" fillId="3" borderId="0" xfId="9" applyBorder="1" applyAlignment="1"/>
    <xf numFmtId="0" fontId="41" fillId="2" borderId="0" xfId="4" applyFill="1" applyAlignment="1"/>
    <xf numFmtId="0" fontId="42" fillId="4" borderId="0" xfId="10" applyBorder="1" applyAlignment="1">
      <alignment horizontal="center"/>
    </xf>
    <xf numFmtId="0" fontId="40" fillId="4" borderId="0" xfId="22" applyBorder="1" applyAlignment="1">
      <alignment horizontal="center"/>
    </xf>
    <xf numFmtId="0" fontId="40" fillId="4" borderId="0" xfId="22" applyBorder="1" applyAlignment="1"/>
    <xf numFmtId="0" fontId="40" fillId="3" borderId="0" xfId="9" applyBorder="1" applyAlignment="1">
      <alignment horizontal="center"/>
    </xf>
    <xf numFmtId="0" fontId="0" fillId="2" borderId="45" xfId="0" quotePrefix="1" applyBorder="1"/>
    <xf numFmtId="0" fontId="0" fillId="14" borderId="0" xfId="6" applyFont="1">
      <protection locked="0"/>
    </xf>
    <xf numFmtId="0" fontId="42" fillId="4" borderId="0" xfId="10" applyBorder="1"/>
    <xf numFmtId="0" fontId="40" fillId="4" borderId="0" xfId="22" applyBorder="1"/>
    <xf numFmtId="0" fontId="35" fillId="2" borderId="0" xfId="5" applyFill="1" applyBorder="1" applyAlignment="1"/>
    <xf numFmtId="3" fontId="40" fillId="3" borderId="0" xfId="9" applyNumberFormat="1" applyBorder="1" applyAlignment="1"/>
    <xf numFmtId="2" fontId="0" fillId="14" borderId="0" xfId="6" applyNumberFormat="1" applyFont="1">
      <protection locked="0"/>
    </xf>
    <xf numFmtId="0" fontId="0" fillId="14" borderId="0" xfId="6" applyFont="1" applyAlignment="1">
      <alignment horizontal="center"/>
      <protection locked="0"/>
    </xf>
    <xf numFmtId="0" fontId="35" fillId="2" borderId="45" xfId="5" applyFill="1" applyBorder="1" applyAlignment="1">
      <alignment vertical="center"/>
    </xf>
    <xf numFmtId="0" fontId="28" fillId="15" borderId="0" xfId="24" applyFont="1" applyBorder="1" applyAlignment="1"/>
    <xf numFmtId="0" fontId="28" fillId="15" borderId="0" xfId="24" applyFont="1" applyBorder="1" applyAlignment="1">
      <alignment horizontal="center"/>
    </xf>
    <xf numFmtId="0" fontId="41" fillId="2" borderId="0" xfId="4" applyFill="1" applyAlignment="1">
      <alignment horizontal="left"/>
    </xf>
    <xf numFmtId="0" fontId="0" fillId="2" borderId="45" xfId="0" applyBorder="1" applyAlignment="1">
      <alignment horizontal="right"/>
    </xf>
    <xf numFmtId="0" fontId="0" fillId="2" borderId="42" xfId="0" applyBorder="1" applyAlignment="1">
      <alignment horizontal="center" vertical="center"/>
    </xf>
    <xf numFmtId="0" fontId="30" fillId="2" borderId="40" xfId="2" applyFill="1" applyAlignment="1">
      <alignment horizontal="center" vertical="center"/>
    </xf>
    <xf numFmtId="0" fontId="0" fillId="2" borderId="2" xfId="25" quotePrefix="1" applyFont="1">
      <alignment horizontal="left" vertical="center" wrapText="1"/>
    </xf>
    <xf numFmtId="0" fontId="0" fillId="2" borderId="49" xfId="0" applyBorder="1" applyAlignment="1">
      <alignment horizontal="center" vertical="center"/>
    </xf>
    <xf numFmtId="0" fontId="0" fillId="2" borderId="8" xfId="0" applyBorder="1"/>
    <xf numFmtId="0" fontId="35" fillId="2" borderId="0" xfId="5" applyFill="1" applyBorder="1" applyAlignment="1">
      <alignment wrapText="1"/>
    </xf>
    <xf numFmtId="0" fontId="37" fillId="2" borderId="1" xfId="0" applyFont="1" applyBorder="1"/>
    <xf numFmtId="3" fontId="40" fillId="3" borderId="7" xfId="9" applyNumberFormat="1" applyBorder="1" applyAlignment="1"/>
    <xf numFmtId="0" fontId="0" fillId="2" borderId="4" xfId="0" applyBorder="1"/>
    <xf numFmtId="0" fontId="33" fillId="2" borderId="1" xfId="28" applyAlignment="1">
      <alignment horizontal="right" vertical="center" wrapText="1"/>
    </xf>
    <xf numFmtId="0" fontId="33" fillId="2" borderId="2" xfId="28" applyBorder="1" applyAlignment="1">
      <alignment vertical="center" wrapText="1"/>
    </xf>
    <xf numFmtId="0" fontId="33" fillId="2" borderId="2" xfId="28" applyBorder="1">
      <alignment horizontal="left" vertical="center" wrapText="1"/>
    </xf>
    <xf numFmtId="3" fontId="40" fillId="3" borderId="7" xfId="9" applyNumberFormat="1" applyBorder="1" applyAlignment="1">
      <alignment horizontal="right"/>
    </xf>
    <xf numFmtId="3" fontId="40" fillId="3" borderId="8" xfId="9" applyNumberFormat="1" applyBorder="1" applyAlignment="1">
      <alignment horizontal="right"/>
    </xf>
    <xf numFmtId="3" fontId="40" fillId="3" borderId="4" xfId="9" applyNumberFormat="1" applyBorder="1" applyAlignment="1">
      <alignment horizontal="right"/>
    </xf>
    <xf numFmtId="3" fontId="39" fillId="3" borderId="1" xfId="29" applyNumberFormat="1" applyBorder="1" applyAlignment="1">
      <alignment horizontal="right"/>
    </xf>
    <xf numFmtId="3" fontId="40" fillId="3" borderId="8" xfId="9" applyNumberFormat="1" applyBorder="1" applyAlignment="1"/>
    <xf numFmtId="3" fontId="40" fillId="3" borderId="4" xfId="9" applyNumberFormat="1" applyBorder="1" applyAlignment="1"/>
    <xf numFmtId="3" fontId="39" fillId="3" borderId="1" xfId="29" applyNumberFormat="1" applyBorder="1"/>
    <xf numFmtId="165" fontId="40" fillId="3" borderId="0" xfId="9" applyNumberFormat="1" applyBorder="1" applyAlignment="1" applyProtection="1">
      <alignment horizontal="left"/>
    </xf>
    <xf numFmtId="164" fontId="40" fillId="3" borderId="0" xfId="9" applyNumberFormat="1" applyBorder="1" applyAlignment="1">
      <alignment horizontal="left"/>
    </xf>
    <xf numFmtId="0" fontId="42" fillId="4" borderId="0" xfId="10" applyBorder="1" applyAlignment="1">
      <alignment horizontal="center" vertical="center"/>
    </xf>
    <xf numFmtId="0" fontId="42" fillId="4" borderId="0" xfId="10" applyBorder="1" applyAlignment="1">
      <alignment horizontal="center" vertical="center" wrapText="1"/>
    </xf>
    <xf numFmtId="0" fontId="40" fillId="4" borderId="0" xfId="22" applyBorder="1" applyAlignment="1">
      <alignment vertical="center" wrapText="1"/>
    </xf>
    <xf numFmtId="0" fontId="40" fillId="4" borderId="0" xfId="22" applyBorder="1" applyAlignment="1">
      <alignment horizontal="center" vertical="center" wrapText="1"/>
    </xf>
    <xf numFmtId="164" fontId="40" fillId="3" borderId="0" xfId="9" applyNumberFormat="1" applyBorder="1" applyAlignment="1">
      <alignment horizontal="center"/>
    </xf>
    <xf numFmtId="166" fontId="40" fillId="3" borderId="7" xfId="9" applyNumberFormat="1" applyBorder="1" applyAlignment="1">
      <alignment horizontal="center"/>
    </xf>
    <xf numFmtId="164" fontId="40" fillId="3" borderId="8" xfId="9" applyNumberFormat="1" applyBorder="1" applyAlignment="1">
      <alignment horizontal="center"/>
    </xf>
    <xf numFmtId="9" fontId="40" fillId="3" borderId="4" xfId="9" applyNumberFormat="1" applyBorder="1" applyAlignment="1">
      <alignment horizontal="center"/>
    </xf>
    <xf numFmtId="166" fontId="0" fillId="14" borderId="0" xfId="6" applyNumberFormat="1" applyFont="1">
      <protection locked="0"/>
    </xf>
    <xf numFmtId="166" fontId="0" fillId="14" borderId="0" xfId="6" applyNumberFormat="1" applyFont="1" applyAlignment="1">
      <alignment horizontal="center"/>
      <protection locked="0"/>
    </xf>
    <xf numFmtId="0" fontId="0" fillId="2" borderId="22" xfId="26" quotePrefix="1" applyFont="1" applyBorder="1" applyAlignment="1">
      <alignment horizontal="left" vertical="center" wrapText="1"/>
    </xf>
    <xf numFmtId="0" fontId="0" fillId="2" borderId="6" xfId="0" quotePrefix="1" applyBorder="1" applyAlignment="1">
      <alignment horizontal="left" indent="1"/>
    </xf>
    <xf numFmtId="0" fontId="0" fillId="2" borderId="6" xfId="0" quotePrefix="1" applyBorder="1" applyAlignment="1">
      <alignment horizontal="left" vertical="center" indent="1"/>
    </xf>
    <xf numFmtId="0" fontId="0" fillId="2" borderId="8" xfId="0" quotePrefix="1" applyBorder="1" applyAlignment="1">
      <alignment horizontal="left" indent="1"/>
    </xf>
    <xf numFmtId="0" fontId="0" fillId="2" borderId="4" xfId="0" quotePrefix="1" applyBorder="1" applyAlignment="1">
      <alignment horizontal="left" indent="1"/>
    </xf>
    <xf numFmtId="0" fontId="0" fillId="2" borderId="0" xfId="0" applyAlignment="1">
      <alignment horizontal="left" indent="1"/>
    </xf>
    <xf numFmtId="0" fontId="0" fillId="2" borderId="6" xfId="0" quotePrefix="1" applyBorder="1" applyAlignment="1">
      <alignment horizontal="left" vertical="center"/>
    </xf>
    <xf numFmtId="0" fontId="0" fillId="2" borderId="22" xfId="0" quotePrefix="1" applyBorder="1" applyAlignment="1">
      <alignment horizontal="left" vertical="center"/>
    </xf>
    <xf numFmtId="0" fontId="42" fillId="4" borderId="0" xfId="10" applyBorder="1" applyAlignment="1">
      <alignment vertical="center"/>
    </xf>
    <xf numFmtId="167" fontId="0" fillId="14" borderId="0" xfId="6" applyNumberFormat="1" applyFont="1">
      <protection locked="0"/>
    </xf>
    <xf numFmtId="0" fontId="0" fillId="2" borderId="0" xfId="0" quotePrefix="1" applyAlignment="1">
      <alignment horizontal="left" indent="1"/>
    </xf>
    <xf numFmtId="0" fontId="37" fillId="2" borderId="0" xfId="23" applyFill="1" applyBorder="1" applyAlignment="1">
      <alignment horizontal="left"/>
    </xf>
    <xf numFmtId="0" fontId="42" fillId="4" borderId="0" xfId="10" applyBorder="1" applyAlignment="1"/>
    <xf numFmtId="0" fontId="31" fillId="2" borderId="0" xfId="7" applyFill="1" applyBorder="1" applyAlignment="1">
      <alignment vertical="center"/>
      <protection locked="0"/>
    </xf>
    <xf numFmtId="0" fontId="31" fillId="2" borderId="22" xfId="7" applyFill="1" applyBorder="1" applyAlignment="1">
      <alignment vertical="center"/>
      <protection locked="0"/>
    </xf>
    <xf numFmtId="0" fontId="0" fillId="2" borderId="0" xfId="0" applyAlignment="1">
      <alignment horizontal="left" vertical="center" wrapText="1" indent="1"/>
    </xf>
    <xf numFmtId="0" fontId="0" fillId="2" borderId="22" xfId="0" applyBorder="1" applyAlignment="1">
      <alignment horizontal="left" vertical="center" wrapText="1" indent="1"/>
    </xf>
    <xf numFmtId="0" fontId="36" fillId="2" borderId="0" xfId="7" quotePrefix="1" applyFont="1" applyFill="1" applyBorder="1" applyAlignment="1">
      <protection locked="0"/>
    </xf>
    <xf numFmtId="0" fontId="0" fillId="2" borderId="8" xfId="0" applyBorder="1" applyAlignment="1">
      <alignment horizontal="left" vertical="center" wrapText="1"/>
    </xf>
    <xf numFmtId="0" fontId="0" fillId="2" borderId="0" xfId="0" applyAlignment="1">
      <alignment horizontal="left" vertical="center" wrapText="1"/>
    </xf>
    <xf numFmtId="0" fontId="0" fillId="2" borderId="4" xfId="0" applyBorder="1" applyAlignment="1">
      <alignment horizontal="left" vertical="center" wrapText="1"/>
    </xf>
    <xf numFmtId="0" fontId="0" fillId="2" borderId="6" xfId="0" applyBorder="1" applyAlignment="1">
      <alignment horizontal="left" vertical="center" wrapText="1"/>
    </xf>
    <xf numFmtId="0" fontId="0" fillId="2" borderId="3" xfId="0" applyBorder="1"/>
    <xf numFmtId="0" fontId="33" fillId="2" borderId="1" xfId="0" applyFont="1" applyBorder="1" applyAlignment="1">
      <alignment vertical="center" wrapText="1"/>
    </xf>
    <xf numFmtId="0" fontId="35" fillId="2" borderId="8" xfId="5" applyFill="1" applyBorder="1" applyAlignment="1">
      <alignment vertical="center"/>
    </xf>
    <xf numFmtId="0" fontId="35" fillId="2" borderId="6" xfId="5" applyFill="1" applyBorder="1" applyAlignment="1">
      <alignment vertical="center"/>
    </xf>
    <xf numFmtId="0" fontId="35" fillId="2" borderId="0" xfId="5" applyFill="1" applyBorder="1" applyAlignment="1">
      <alignment vertical="center"/>
    </xf>
    <xf numFmtId="0" fontId="31" fillId="2" borderId="8" xfId="7" applyFill="1" applyBorder="1" applyAlignment="1">
      <alignment vertical="center"/>
      <protection locked="0"/>
    </xf>
    <xf numFmtId="0" fontId="31" fillId="2" borderId="4" xfId="7" applyFill="1" applyBorder="1" applyAlignment="1">
      <alignment vertical="center"/>
      <protection locked="0"/>
    </xf>
    <xf numFmtId="0" fontId="31" fillId="2" borderId="6" xfId="7" applyFill="1" applyBorder="1" applyAlignment="1">
      <alignment vertical="center"/>
      <protection locked="0"/>
    </xf>
    <xf numFmtId="0" fontId="31" fillId="2" borderId="0" xfId="7" applyFill="1" applyBorder="1" applyAlignment="1">
      <protection locked="0"/>
    </xf>
    <xf numFmtId="0" fontId="33" fillId="2" borderId="1" xfId="0" applyFont="1" applyBorder="1" applyAlignment="1">
      <alignment vertical="center"/>
    </xf>
    <xf numFmtId="0" fontId="36" fillId="2" borderId="0" xfId="7" applyFont="1" applyFill="1" applyBorder="1" applyAlignment="1">
      <protection locked="0"/>
    </xf>
    <xf numFmtId="0" fontId="29" fillId="2" borderId="0" xfId="0" applyFont="1"/>
    <xf numFmtId="0" fontId="38" fillId="2" borderId="0" xfId="1" applyFill="1" applyBorder="1" applyAlignment="1">
      <alignment wrapText="1"/>
    </xf>
    <xf numFmtId="0" fontId="0" fillId="2" borderId="0" xfId="0" applyAlignment="1">
      <alignment vertical="top"/>
    </xf>
    <xf numFmtId="0" fontId="0" fillId="2" borderId="0" xfId="0"/>
    <xf numFmtId="0" fontId="0" fillId="2" borderId="0" xfId="0" applyAlignment="1">
      <alignment vertical="top" wrapText="1"/>
    </xf>
    <xf numFmtId="0" fontId="0" fillId="14" borderId="0" xfId="6" applyFont="1" applyAlignment="1" applyProtection="1">
      <alignment vertical="top"/>
    </xf>
    <xf numFmtId="0" fontId="40" fillId="3" borderId="0" xfId="9" applyBorder="1" applyAlignment="1">
      <alignment vertical="top"/>
    </xf>
    <xf numFmtId="0" fontId="0" fillId="15" borderId="0" xfId="24" applyFont="1" applyBorder="1" applyAlignment="1">
      <alignment vertical="top"/>
    </xf>
    <xf numFmtId="0" fontId="35" fillId="2" borderId="0" xfId="5" applyFill="1" applyAlignment="1">
      <alignment horizontal="left"/>
    </xf>
    <xf numFmtId="0" fontId="35" fillId="2" borderId="0" xfId="5" applyFill="1" applyBorder="1" applyAlignment="1">
      <alignment vertical="center" wrapText="1"/>
    </xf>
    <xf numFmtId="0" fontId="35" fillId="2" borderId="0" xfId="5" quotePrefix="1" applyFill="1" applyBorder="1" applyAlignment="1">
      <alignment vertical="top" wrapText="1"/>
    </xf>
    <xf numFmtId="3" fontId="40" fillId="3" borderId="7" xfId="9" applyNumberFormat="1" applyBorder="1" applyAlignment="1"/>
    <xf numFmtId="0" fontId="33" fillId="2" borderId="1" xfId="28">
      <alignment horizontal="left" vertical="center" wrapText="1"/>
    </xf>
    <xf numFmtId="0" fontId="0" fillId="2" borderId="0" xfId="0" applyAlignment="1">
      <alignment vertical="center"/>
    </xf>
    <xf numFmtId="0" fontId="33" fillId="2" borderId="2" xfId="28" applyBorder="1" applyAlignment="1">
      <alignment horizontal="right" vertical="center" wrapText="1"/>
    </xf>
    <xf numFmtId="0" fontId="33" fillId="2" borderId="3" xfId="28" applyBorder="1" applyAlignment="1">
      <alignment horizontal="right" vertical="center" wrapText="1"/>
    </xf>
    <xf numFmtId="3" fontId="40" fillId="3" borderId="22" xfId="9" applyNumberFormat="1" applyBorder="1" applyAlignment="1"/>
    <xf numFmtId="3" fontId="0" fillId="14" borderId="6" xfId="6" applyNumberFormat="1" applyFont="1" applyBorder="1" applyAlignment="1">
      <protection locked="0"/>
    </xf>
    <xf numFmtId="0" fontId="35" fillId="2" borderId="0" xfId="5" applyFill="1" applyBorder="1" applyAlignment="1">
      <alignment horizontal="left" vertical="center" wrapText="1"/>
    </xf>
    <xf numFmtId="3" fontId="39" fillId="3" borderId="1" xfId="9" applyNumberFormat="1" applyFont="1" applyBorder="1" applyAlignment="1"/>
    <xf numFmtId="164" fontId="0" fillId="14" borderId="0" xfId="6" applyNumberFormat="1" applyFont="1" applyAlignment="1">
      <alignment horizontal="left"/>
      <protection locked="0"/>
    </xf>
    <xf numFmtId="0" fontId="4" fillId="2" borderId="1" xfId="0" applyFont="1" applyBorder="1"/>
    <xf numFmtId="0" fontId="0" fillId="2" borderId="8" xfId="0" applyBorder="1"/>
    <xf numFmtId="0" fontId="0" fillId="2" borderId="8" xfId="0" applyBorder="1" applyAlignment="1">
      <alignment vertical="center" wrapText="1"/>
    </xf>
    <xf numFmtId="0" fontId="0" fillId="2" borderId="8" xfId="0" applyBorder="1" applyAlignment="1">
      <alignment horizontal="left" vertical="center"/>
    </xf>
    <xf numFmtId="0" fontId="0" fillId="2" borderId="22" xfId="0" applyBorder="1" applyAlignment="1">
      <alignment horizontal="left" vertical="center" wrapText="1"/>
    </xf>
    <xf numFmtId="0" fontId="37" fillId="2" borderId="7" xfId="0" applyFont="1" applyBorder="1" applyAlignment="1">
      <alignment horizontal="center" vertical="center"/>
    </xf>
    <xf numFmtId="0" fontId="37" fillId="2" borderId="2" xfId="0" applyFont="1" applyBorder="1" applyAlignment="1">
      <alignment horizontal="left" vertical="center"/>
    </xf>
    <xf numFmtId="0" fontId="37" fillId="2" borderId="3" xfId="0" applyFont="1" applyBorder="1" applyAlignment="1">
      <alignment horizontal="left" vertical="center"/>
    </xf>
    <xf numFmtId="0" fontId="37" fillId="2" borderId="7" xfId="0" applyFont="1" applyBorder="1"/>
    <xf numFmtId="0" fontId="37" fillId="2" borderId="8" xfId="0" applyFont="1" applyBorder="1"/>
    <xf numFmtId="0" fontId="37" fillId="2" borderId="6" xfId="0" applyFont="1" applyBorder="1"/>
    <xf numFmtId="0" fontId="37" fillId="2" borderId="1" xfId="0" applyFont="1" applyBorder="1"/>
    <xf numFmtId="0" fontId="37" fillId="2" borderId="2" xfId="0" applyFont="1" applyBorder="1" applyAlignment="1">
      <alignment horizontal="left" vertical="center" wrapText="1"/>
    </xf>
    <xf numFmtId="0" fontId="37" fillId="2" borderId="0" xfId="0" applyFont="1" applyAlignment="1">
      <alignment horizontal="left" vertical="center" wrapText="1"/>
    </xf>
    <xf numFmtId="0" fontId="0" fillId="14" borderId="0" xfId="6" applyFont="1" applyAlignment="1">
      <alignment vertical="center"/>
      <protection locked="0"/>
    </xf>
    <xf numFmtId="0" fontId="0" fillId="2" borderId="0" xfId="0" applyAlignment="1">
      <alignment wrapText="1"/>
    </xf>
    <xf numFmtId="3" fontId="0" fillId="14" borderId="0" xfId="6" applyNumberFormat="1" applyFont="1" applyAlignment="1">
      <alignment horizontal="center" vertical="center"/>
      <protection locked="0"/>
    </xf>
    <xf numFmtId="0" fontId="35" fillId="2" borderId="0" xfId="5" applyFill="1" applyBorder="1" applyAlignment="1">
      <alignment wrapText="1"/>
    </xf>
    <xf numFmtId="0" fontId="0" fillId="14" borderId="0" xfId="6" applyFont="1" applyAlignment="1">
      <protection locked="0"/>
    </xf>
    <xf numFmtId="0" fontId="37" fillId="2" borderId="2" xfId="0" applyFont="1" applyBorder="1" applyAlignment="1">
      <alignment vertical="center"/>
    </xf>
    <xf numFmtId="0" fontId="37" fillId="2" borderId="0" xfId="0" applyFont="1" applyAlignment="1">
      <alignment vertical="center"/>
    </xf>
    <xf numFmtId="0" fontId="37" fillId="2" borderId="3" xfId="0" applyFont="1" applyBorder="1" applyAlignment="1">
      <alignment vertical="center"/>
    </xf>
    <xf numFmtId="0" fontId="37" fillId="2" borderId="0" xfId="0" applyFont="1" applyAlignment="1">
      <alignment horizontal="left" vertical="center"/>
    </xf>
    <xf numFmtId="0" fontId="43" fillId="2" borderId="8" xfId="0" applyFont="1" applyBorder="1"/>
    <xf numFmtId="3" fontId="39" fillId="3" borderId="1" xfId="9" applyNumberFormat="1" applyFont="1" applyBorder="1" applyAlignment="1" applyProtection="1"/>
    <xf numFmtId="3" fontId="0" fillId="14" borderId="4" xfId="6" applyNumberFormat="1" applyFont="1" applyBorder="1" applyAlignment="1">
      <protection locked="0"/>
    </xf>
    <xf numFmtId="0" fontId="0" fillId="2" borderId="4" xfId="0" applyBorder="1"/>
    <xf numFmtId="3" fontId="0" fillId="14" borderId="8" xfId="6" applyNumberFormat="1" applyFont="1" applyBorder="1" applyAlignment="1">
      <protection locked="0"/>
    </xf>
    <xf numFmtId="0" fontId="0" fillId="2" borderId="0" xfId="0" applyAlignment="1">
      <alignment vertical="center" wrapText="1"/>
    </xf>
    <xf numFmtId="3" fontId="0" fillId="14" borderId="7" xfId="6" applyNumberFormat="1" applyFont="1" applyBorder="1" applyAlignment="1">
      <protection locked="0"/>
    </xf>
    <xf numFmtId="0" fontId="0" fillId="2" borderId="7" xfId="0" applyBorder="1" applyAlignment="1">
      <alignment horizontal="left"/>
    </xf>
    <xf numFmtId="3" fontId="40" fillId="3" borderId="8" xfId="9" applyNumberFormat="1" applyBorder="1" applyAlignment="1" applyProtection="1"/>
    <xf numFmtId="0" fontId="30" fillId="2" borderId="40" xfId="2" applyFill="1" applyAlignment="1"/>
    <xf numFmtId="0" fontId="40" fillId="3" borderId="0" xfId="9" applyBorder="1" applyAlignment="1"/>
    <xf numFmtId="0" fontId="40" fillId="3" borderId="0" xfId="9" applyBorder="1" applyAlignment="1">
      <alignment horizontal="center" vertical="center" wrapText="1"/>
    </xf>
    <xf numFmtId="0" fontId="40" fillId="3" borderId="0" xfId="9" applyBorder="1" applyAlignment="1">
      <alignment vertical="center" wrapText="1"/>
    </xf>
    <xf numFmtId="0" fontId="0" fillId="2" borderId="0" xfId="0" applyAlignment="1">
      <alignment horizontal="right" vertical="center"/>
    </xf>
    <xf numFmtId="0" fontId="0" fillId="2" borderId="0" xfId="0" applyAlignment="1">
      <alignment horizontal="left" vertical="center"/>
    </xf>
    <xf numFmtId="0" fontId="42" fillId="4" borderId="0" xfId="10" applyBorder="1" applyAlignment="1">
      <alignment vertical="center" wrapText="1"/>
    </xf>
    <xf numFmtId="0" fontId="40" fillId="4" borderId="0" xfId="22" applyBorder="1" applyAlignment="1">
      <alignment wrapText="1"/>
    </xf>
    <xf numFmtId="0" fontId="42" fillId="4" borderId="0" xfId="10" applyBorder="1" applyAlignment="1">
      <alignment wrapText="1"/>
    </xf>
    <xf numFmtId="0" fontId="42" fillId="4" borderId="0" xfId="10" applyBorder="1" applyAlignment="1"/>
    <xf numFmtId="0" fontId="40" fillId="4" borderId="0" xfId="22" applyBorder="1" applyAlignment="1"/>
    <xf numFmtId="166" fontId="40" fillId="3" borderId="0" xfId="9" applyNumberFormat="1" applyBorder="1" applyAlignment="1">
      <alignment horizontal="left"/>
    </xf>
    <xf numFmtId="0" fontId="42" fillId="4" borderId="0" xfId="10" quotePrefix="1" applyBorder="1" applyAlignment="1"/>
    <xf numFmtId="166" fontId="0" fillId="14" borderId="0" xfId="6" applyNumberFormat="1" applyFont="1" applyAlignment="1">
      <alignment horizontal="center" vertical="center"/>
      <protection locked="0"/>
    </xf>
    <xf numFmtId="0" fontId="0" fillId="2" borderId="7" xfId="0" applyBorder="1"/>
    <xf numFmtId="0" fontId="42" fillId="4" borderId="0" xfId="10" quotePrefix="1" applyBorder="1" applyAlignment="1">
      <alignment wrapText="1"/>
    </xf>
    <xf numFmtId="164" fontId="40" fillId="3" borderId="0" xfId="9" applyNumberFormat="1" applyBorder="1" applyAlignment="1">
      <alignment horizontal="left"/>
    </xf>
    <xf numFmtId="3" fontId="40" fillId="3" borderId="0" xfId="9" applyNumberFormat="1" applyBorder="1" applyAlignment="1">
      <alignment horizontal="left"/>
    </xf>
    <xf numFmtId="0" fontId="40" fillId="3" borderId="0" xfId="9" applyBorder="1" applyAlignment="1">
      <alignment wrapText="1"/>
    </xf>
    <xf numFmtId="0" fontId="34" fillId="2" borderId="0" xfId="3" applyFill="1" applyAlignment="1"/>
    <xf numFmtId="0" fontId="40" fillId="3" borderId="0" xfId="9" applyBorder="1" applyAlignment="1">
      <alignment horizontal="left" vertical="center" wrapText="1"/>
    </xf>
    <xf numFmtId="0" fontId="37" fillId="2" borderId="0" xfId="23" applyBorder="1" applyAlignment="1">
      <alignment wrapText="1"/>
    </xf>
    <xf numFmtId="0" fontId="40" fillId="3" borderId="0" xfId="9" applyBorder="1" applyAlignment="1">
      <alignment horizontal="left" vertical="center"/>
    </xf>
    <xf numFmtId="3" fontId="40" fillId="3" borderId="4" xfId="9" applyNumberFormat="1" applyBorder="1" applyAlignment="1"/>
    <xf numFmtId="0" fontId="31" fillId="2" borderId="0" xfId="7" applyFill="1" applyAlignment="1">
      <protection locked="0"/>
    </xf>
    <xf numFmtId="0" fontId="31" fillId="2" borderId="0" xfId="7" applyFill="1" applyBorder="1" applyAlignment="1">
      <alignment horizontal="left" vertical="center" wrapText="1"/>
      <protection locked="0"/>
    </xf>
    <xf numFmtId="0" fontId="31" fillId="2" borderId="0" xfId="7" applyFill="1" applyBorder="1" applyAlignment="1">
      <alignment vertical="center" wrapText="1"/>
      <protection locked="0"/>
    </xf>
    <xf numFmtId="0" fontId="0" fillId="2" borderId="0" xfId="0" applyAlignment="1">
      <alignment horizontal="right" vertical="center" wrapText="1"/>
    </xf>
    <xf numFmtId="0" fontId="0" fillId="2" borderId="0" xfId="0" applyAlignment="1">
      <alignment horizontal="left" wrapText="1"/>
    </xf>
    <xf numFmtId="0" fontId="0" fillId="2" borderId="0" xfId="0" applyAlignment="1">
      <alignment horizontal="left" indent="1"/>
    </xf>
    <xf numFmtId="0" fontId="33" fillId="2" borderId="1" xfId="28" applyAlignment="1">
      <alignment horizontal="right" vertical="center" wrapText="1"/>
    </xf>
    <xf numFmtId="0" fontId="39" fillId="4" borderId="0" xfId="10" applyFont="1" applyBorder="1" applyAlignment="1"/>
    <xf numFmtId="3" fontId="39" fillId="3" borderId="1" xfId="29" applyNumberFormat="1" applyBorder="1" applyAlignment="1"/>
    <xf numFmtId="0" fontId="35" fillId="2" borderId="0" xfId="5" quotePrefix="1" applyFill="1" applyBorder="1" applyAlignment="1">
      <alignment horizontal="left" wrapText="1"/>
    </xf>
    <xf numFmtId="0" fontId="0" fillId="2" borderId="8" xfId="0" applyBorder="1" applyAlignment="1">
      <alignment vertical="center"/>
    </xf>
    <xf numFmtId="0" fontId="0" fillId="2" borderId="4" xfId="0" applyBorder="1" applyAlignment="1">
      <alignment vertical="center"/>
    </xf>
    <xf numFmtId="0" fontId="0" fillId="2" borderId="22" xfId="0" applyBorder="1" applyAlignment="1">
      <alignment vertical="center"/>
    </xf>
    <xf numFmtId="0" fontId="0" fillId="2" borderId="15" xfId="0" applyBorder="1" applyAlignment="1">
      <alignment vertical="center"/>
    </xf>
    <xf numFmtId="0" fontId="42" fillId="4" borderId="0" xfId="10" applyBorder="1" applyAlignment="1">
      <alignment horizontal="left" vertical="center" wrapText="1"/>
    </xf>
    <xf numFmtId="0" fontId="42" fillId="4" borderId="0" xfId="10" quotePrefix="1" applyBorder="1" applyAlignment="1">
      <alignment horizontal="left" vertical="center" wrapText="1"/>
    </xf>
    <xf numFmtId="0" fontId="42" fillId="4" borderId="0" xfId="10" applyBorder="1" applyAlignment="1">
      <alignment horizontal="center" vertical="center"/>
    </xf>
    <xf numFmtId="0" fontId="40" fillId="4" borderId="0" xfId="22" applyBorder="1" applyAlignment="1">
      <alignment vertical="center"/>
    </xf>
    <xf numFmtId="0" fontId="42" fillId="4" borderId="0" xfId="10" applyBorder="1" applyAlignment="1">
      <alignment horizontal="left" wrapText="1"/>
    </xf>
    <xf numFmtId="0" fontId="42" fillId="4" borderId="0" xfId="10" quotePrefix="1" applyBorder="1" applyAlignment="1">
      <alignment vertical="center" wrapText="1"/>
    </xf>
    <xf numFmtId="0" fontId="40" fillId="4" borderId="0" xfId="22" applyBorder="1" applyAlignment="1">
      <alignment horizontal="center" vertical="center"/>
    </xf>
    <xf numFmtId="0" fontId="40" fillId="4" borderId="0" xfId="22" applyBorder="1" applyAlignment="1">
      <alignment horizontal="left" vertical="center"/>
    </xf>
    <xf numFmtId="164" fontId="28" fillId="15" borderId="0" xfId="24" applyNumberFormat="1" applyFont="1" applyBorder="1" applyAlignment="1">
      <alignment horizontal="left"/>
    </xf>
    <xf numFmtId="0" fontId="0" fillId="2" borderId="7" xfId="0" applyBorder="1" applyAlignment="1">
      <alignment horizontal="left" vertical="center"/>
    </xf>
    <xf numFmtId="0" fontId="0" fillId="2" borderId="7" xfId="0" applyBorder="1" applyAlignment="1">
      <alignment wrapText="1"/>
    </xf>
    <xf numFmtId="0" fontId="0" fillId="2" borderId="8" xfId="0" applyBorder="1" applyAlignment="1">
      <alignment wrapText="1"/>
    </xf>
    <xf numFmtId="0" fontId="0" fillId="2" borderId="4" xfId="0" applyBorder="1" applyAlignment="1">
      <alignment horizontal="left" vertical="center"/>
    </xf>
    <xf numFmtId="0" fontId="33" fillId="2" borderId="1" xfId="28" applyFill="1" applyAlignment="1">
      <alignment horizontal="right" vertical="center" wrapText="1"/>
    </xf>
    <xf numFmtId="0" fontId="33" fillId="2" borderId="1" xfId="28" applyFill="1">
      <alignment horizontal="left" vertical="center" wrapText="1"/>
    </xf>
    <xf numFmtId="0" fontId="33" fillId="2" borderId="51" xfId="28" applyFill="1" applyBorder="1">
      <alignment horizontal="left" vertical="center" wrapText="1"/>
    </xf>
    <xf numFmtId="0" fontId="33" fillId="2" borderId="7" xfId="28" applyFill="1" applyBorder="1">
      <alignment horizontal="left" vertical="center" wrapText="1"/>
    </xf>
    <xf numFmtId="0" fontId="33" fillId="2" borderId="26" xfId="28" applyFill="1" applyBorder="1">
      <alignment horizontal="left" vertical="center" wrapText="1"/>
    </xf>
    <xf numFmtId="0" fontId="4" fillId="2" borderId="2" xfId="0" applyFont="1" applyBorder="1" applyAlignment="1">
      <alignment horizontal="right" vertical="center" wrapText="1"/>
    </xf>
    <xf numFmtId="0" fontId="4" fillId="2" borderId="22" xfId="0" applyFont="1" applyBorder="1" applyAlignment="1">
      <alignment horizontal="right" vertical="center" wrapText="1"/>
    </xf>
    <xf numFmtId="0" fontId="33" fillId="2" borderId="1" xfId="28" applyFill="1" applyAlignment="1">
      <alignment horizontal="left" indent="1"/>
    </xf>
    <xf numFmtId="0" fontId="0" fillId="2" borderId="2" xfId="0" applyBorder="1" applyAlignment="1">
      <alignment vertical="center"/>
    </xf>
    <xf numFmtId="0" fontId="0" fillId="2" borderId="24" xfId="0" applyBorder="1" applyAlignment="1">
      <alignment vertical="center"/>
    </xf>
    <xf numFmtId="0" fontId="0" fillId="2" borderId="28" xfId="0" applyBorder="1" applyAlignment="1">
      <alignment vertical="center"/>
    </xf>
    <xf numFmtId="14" fontId="0" fillId="14" borderId="7" xfId="6" applyNumberFormat="1" applyFont="1" applyBorder="1" applyAlignment="1">
      <alignment horizontal="center" vertical="center" wrapText="1"/>
      <protection locked="0"/>
    </xf>
    <xf numFmtId="14" fontId="0" fillId="14" borderId="8" xfId="6" applyNumberFormat="1" applyFont="1" applyBorder="1" applyAlignment="1">
      <alignment horizontal="center" vertical="center" wrapText="1"/>
      <protection locked="0"/>
    </xf>
    <xf numFmtId="14" fontId="0" fillId="14" borderId="4" xfId="6" applyNumberFormat="1" applyFont="1" applyBorder="1" applyAlignment="1">
      <alignment horizontal="center" vertical="center" wrapText="1"/>
      <protection locked="0"/>
    </xf>
    <xf numFmtId="0" fontId="0" fillId="2" borderId="8" xfId="0" applyBorder="1" applyAlignment="1">
      <alignment horizontal="right" vertical="center"/>
    </xf>
    <xf numFmtId="0" fontId="0" fillId="2" borderId="4" xfId="0" applyBorder="1" applyAlignment="1">
      <alignment horizontal="right" vertical="center"/>
    </xf>
    <xf numFmtId="0" fontId="0" fillId="14" borderId="8" xfId="6" applyFont="1" applyBorder="1" applyAlignment="1">
      <alignment horizontal="right" vertical="center"/>
      <protection locked="0"/>
    </xf>
    <xf numFmtId="0" fontId="0" fillId="14" borderId="4" xfId="6" applyFont="1" applyBorder="1" applyAlignment="1">
      <alignment horizontal="right" vertical="center"/>
      <protection locked="0"/>
    </xf>
    <xf numFmtId="0" fontId="0" fillId="14" borderId="7" xfId="6" applyFont="1" applyBorder="1" applyAlignment="1">
      <alignment horizontal="right" vertical="center"/>
      <protection locked="0"/>
    </xf>
    <xf numFmtId="0" fontId="0" fillId="2" borderId="7" xfId="0" applyBorder="1" applyAlignment="1">
      <alignment horizontal="right" vertical="center"/>
    </xf>
    <xf numFmtId="0" fontId="40" fillId="3" borderId="0" xfId="9" applyBorder="1" applyAlignment="1">
      <alignment horizontal="left"/>
    </xf>
    <xf numFmtId="0" fontId="40" fillId="4" borderId="0" xfId="22" applyBorder="1" applyAlignment="1">
      <alignment horizontal="left"/>
    </xf>
    <xf numFmtId="0" fontId="40" fillId="3" borderId="7" xfId="9" applyBorder="1" applyAlignment="1">
      <alignment horizontal="right"/>
    </xf>
    <xf numFmtId="0" fontId="0" fillId="14" borderId="8" xfId="6" applyFont="1" applyBorder="1" applyAlignment="1">
      <protection locked="0"/>
    </xf>
    <xf numFmtId="0" fontId="0" fillId="14" borderId="4" xfId="6" applyFont="1" applyBorder="1" applyAlignment="1">
      <protection locked="0"/>
    </xf>
    <xf numFmtId="0" fontId="40" fillId="4" borderId="0" xfId="22" applyBorder="1" applyAlignment="1">
      <alignment horizontal="left" wrapText="1"/>
    </xf>
    <xf numFmtId="0" fontId="28" fillId="15" borderId="0" xfId="24" applyFont="1" applyBorder="1" applyAlignment="1"/>
    <xf numFmtId="0" fontId="40" fillId="4" borderId="0" xfId="22" applyBorder="1" applyAlignment="1">
      <alignment horizontal="left" vertical="center" wrapText="1"/>
    </xf>
    <xf numFmtId="0" fontId="40" fillId="3" borderId="17" xfId="9" applyBorder="1" applyAlignment="1">
      <alignment horizontal="center" vertical="center" wrapText="1"/>
    </xf>
    <xf numFmtId="0" fontId="40" fillId="3" borderId="24" xfId="9" applyBorder="1" applyAlignment="1">
      <alignment horizontal="center" vertical="center" wrapText="1"/>
    </xf>
    <xf numFmtId="0" fontId="40" fillId="3" borderId="16" xfId="9" applyBorder="1" applyAlignment="1">
      <alignment horizontal="center" vertical="center" wrapText="1"/>
    </xf>
    <xf numFmtId="0" fontId="40" fillId="3" borderId="15" xfId="9" applyBorder="1" applyAlignment="1">
      <alignment horizontal="center" vertical="center" wrapText="1"/>
    </xf>
    <xf numFmtId="0" fontId="40" fillId="3" borderId="29" xfId="9" applyBorder="1" applyAlignment="1">
      <alignment horizontal="center" vertical="center" wrapText="1"/>
    </xf>
    <xf numFmtId="0" fontId="40" fillId="3" borderId="28" xfId="9" applyBorder="1" applyAlignment="1">
      <alignment horizontal="center" vertical="center" wrapText="1"/>
    </xf>
    <xf numFmtId="0" fontId="40" fillId="3" borderId="25" xfId="9" applyBorder="1" applyAlignment="1">
      <alignment horizontal="center" vertical="center" wrapText="1"/>
    </xf>
    <xf numFmtId="0" fontId="40" fillId="3" borderId="23" xfId="9" applyBorder="1" applyAlignment="1">
      <alignment horizontal="center" vertical="center" wrapText="1"/>
    </xf>
    <xf numFmtId="0" fontId="40" fillId="3" borderId="27" xfId="9" applyBorder="1" applyAlignment="1">
      <alignment horizontal="center" vertical="center" wrapText="1"/>
    </xf>
    <xf numFmtId="0" fontId="40" fillId="3" borderId="26" xfId="9" applyBorder="1" applyAlignment="1">
      <alignment horizontal="center" vertical="center" wrapText="1"/>
    </xf>
    <xf numFmtId="0" fontId="40" fillId="3" borderId="29" xfId="9" applyBorder="1" applyAlignment="1">
      <alignment horizontal="center" vertical="center"/>
    </xf>
    <xf numFmtId="0" fontId="40" fillId="3" borderId="28" xfId="9" applyBorder="1" applyAlignment="1">
      <alignment horizontal="center" vertical="center"/>
    </xf>
    <xf numFmtId="0" fontId="0" fillId="2" borderId="8" xfId="27" applyFont="1" applyBorder="1">
      <alignment horizontal="left" vertical="center" wrapText="1" indent="2"/>
    </xf>
    <xf numFmtId="0" fontId="0" fillId="2" borderId="7" xfId="25" applyFont="1" applyBorder="1">
      <alignment horizontal="left" vertical="center" wrapText="1"/>
    </xf>
    <xf numFmtId="0" fontId="0" fillId="2" borderId="8" xfId="0" applyBorder="1" applyAlignment="1">
      <alignment horizontal="left" vertical="center" wrapText="1" indent="1"/>
    </xf>
    <xf numFmtId="0" fontId="0" fillId="2" borderId="4" xfId="0" applyBorder="1" applyAlignment="1">
      <alignment horizontal="left" vertical="center" wrapText="1" indent="1"/>
    </xf>
    <xf numFmtId="0" fontId="0" fillId="2" borderId="2" xfId="25" applyFont="1" applyFill="1">
      <alignment horizontal="left" vertical="center" wrapText="1"/>
    </xf>
    <xf numFmtId="0" fontId="0" fillId="2" borderId="7" xfId="25" applyFont="1" applyFill="1" applyBorder="1">
      <alignment horizontal="left" vertical="center" wrapText="1"/>
    </xf>
    <xf numFmtId="0" fontId="0" fillId="2" borderId="4" xfId="26" applyFont="1" applyBorder="1">
      <alignment horizontal="left" vertical="center" wrapText="1" indent="1"/>
    </xf>
    <xf numFmtId="0" fontId="40" fillId="3" borderId="16" xfId="9" applyBorder="1" applyAlignment="1">
      <alignment horizontal="center" vertical="center"/>
    </xf>
    <xf numFmtId="0" fontId="40" fillId="3" borderId="15" xfId="9" applyBorder="1" applyAlignment="1">
      <alignment horizontal="center" vertical="center"/>
    </xf>
    <xf numFmtId="0" fontId="33" fillId="2" borderId="52" xfId="28" applyFill="1" applyBorder="1">
      <alignment horizontal="left" vertical="center" wrapText="1"/>
    </xf>
    <xf numFmtId="0" fontId="33" fillId="2" borderId="36" xfId="28" applyFill="1" applyBorder="1">
      <alignment horizontal="left" vertical="center" wrapText="1"/>
    </xf>
    <xf numFmtId="164" fontId="40" fillId="3" borderId="8" xfId="9" applyNumberFormat="1" applyBorder="1" applyAlignment="1">
      <alignment horizontal="left" wrapText="1"/>
    </xf>
    <xf numFmtId="0" fontId="40" fillId="3" borderId="4" xfId="9" applyBorder="1" applyAlignment="1">
      <alignment horizontal="left" wrapText="1"/>
    </xf>
    <xf numFmtId="0" fontId="40" fillId="3" borderId="2" xfId="9" applyBorder="1" applyAlignment="1">
      <alignment horizontal="left" vertical="center" wrapText="1"/>
    </xf>
    <xf numFmtId="0" fontId="40" fillId="3" borderId="36" xfId="9" applyBorder="1" applyAlignment="1">
      <alignment horizontal="left" vertical="center" wrapText="1"/>
    </xf>
    <xf numFmtId="0" fontId="33" fillId="2" borderId="30" xfId="28" applyBorder="1">
      <alignment horizontal="left" vertical="center" wrapText="1"/>
    </xf>
    <xf numFmtId="0" fontId="33" fillId="2" borderId="33" xfId="28" applyBorder="1">
      <alignment horizontal="left" vertical="center" wrapText="1"/>
    </xf>
    <xf numFmtId="3" fontId="40" fillId="3" borderId="8" xfId="9" applyNumberFormat="1" applyBorder="1" applyAlignment="1">
      <alignment horizontal="left" wrapText="1"/>
    </xf>
    <xf numFmtId="0" fontId="40" fillId="3" borderId="8" xfId="9" applyBorder="1" applyAlignment="1">
      <alignment horizontal="left" wrapText="1"/>
    </xf>
    <xf numFmtId="0" fontId="40" fillId="3" borderId="7" xfId="9" applyBorder="1" applyAlignment="1">
      <alignment horizontal="left" vertical="center" wrapText="1"/>
    </xf>
    <xf numFmtId="0" fontId="40" fillId="3" borderId="16" xfId="9" applyBorder="1" applyAlignment="1">
      <alignment horizontal="left" vertical="center" wrapText="1"/>
    </xf>
    <xf numFmtId="0" fontId="40" fillId="3" borderId="8" xfId="9" applyBorder="1" applyAlignment="1">
      <alignment horizontal="left" vertical="center" wrapText="1"/>
    </xf>
    <xf numFmtId="0" fontId="40" fillId="3" borderId="17" xfId="9" applyBorder="1" applyAlignment="1">
      <alignment horizontal="left" wrapText="1"/>
    </xf>
    <xf numFmtId="0" fontId="40" fillId="3" borderId="22" xfId="9" applyBorder="1" applyAlignment="1">
      <alignment horizontal="left" wrapText="1"/>
    </xf>
    <xf numFmtId="3" fontId="40" fillId="3" borderId="16" xfId="9" applyNumberFormat="1" applyBorder="1" applyAlignment="1">
      <alignment horizontal="left" wrapText="1"/>
    </xf>
    <xf numFmtId="164" fontId="40" fillId="3" borderId="16" xfId="9" applyNumberFormat="1" applyBorder="1" applyAlignment="1">
      <alignment horizontal="left" wrapText="1"/>
    </xf>
    <xf numFmtId="164" fontId="40" fillId="3" borderId="4" xfId="9" applyNumberFormat="1" applyBorder="1" applyAlignment="1">
      <alignment horizontal="left" wrapText="1"/>
    </xf>
    <xf numFmtId="0" fontId="0" fillId="2" borderId="8" xfId="26" applyFont="1" applyBorder="1">
      <alignment horizontal="left" vertical="center" wrapText="1" indent="1"/>
    </xf>
    <xf numFmtId="0" fontId="0" fillId="2" borderId="8" xfId="26" applyFont="1" applyBorder="1" applyAlignment="1">
      <alignment horizontal="left" vertical="center" wrapText="1" indent="2"/>
    </xf>
    <xf numFmtId="0" fontId="0" fillId="2" borderId="8" xfId="27" applyFont="1" applyBorder="1" applyAlignment="1">
      <alignment horizontal="left" vertical="center" wrapText="1" indent="1"/>
    </xf>
    <xf numFmtId="0" fontId="0" fillId="2" borderId="15" xfId="27" applyFont="1" applyBorder="1" applyAlignment="1">
      <alignment horizontal="left" vertical="center" wrapText="1" indent="1"/>
    </xf>
    <xf numFmtId="0" fontId="40" fillId="3" borderId="37" xfId="9" applyBorder="1" applyAlignment="1">
      <alignment horizontal="center" vertical="center" wrapText="1"/>
    </xf>
    <xf numFmtId="0" fontId="40" fillId="3" borderId="38" xfId="9" applyBorder="1" applyAlignment="1">
      <alignment horizontal="center" vertical="center" wrapText="1"/>
    </xf>
    <xf numFmtId="0" fontId="33" fillId="2" borderId="31" xfId="28" applyBorder="1" applyAlignment="1">
      <alignment horizontal="center" vertical="center" wrapText="1"/>
    </xf>
    <xf numFmtId="0" fontId="33" fillId="2" borderId="32" xfId="28" applyBorder="1" applyAlignment="1">
      <alignment horizontal="center" vertical="center" wrapText="1"/>
    </xf>
    <xf numFmtId="0" fontId="33" fillId="2" borderId="34" xfId="28" applyBorder="1" applyAlignment="1">
      <alignment horizontal="center" vertical="center" wrapText="1"/>
    </xf>
    <xf numFmtId="0" fontId="33" fillId="2" borderId="35" xfId="28" applyBorder="1" applyAlignment="1">
      <alignment horizontal="center" vertical="center" wrapText="1"/>
    </xf>
    <xf numFmtId="0" fontId="0" fillId="2" borderId="2" xfId="25" applyFont="1">
      <alignment horizontal="left" vertical="center" wrapText="1"/>
    </xf>
    <xf numFmtId="0" fontId="40" fillId="3" borderId="39" xfId="9" applyBorder="1" applyAlignment="1">
      <alignment horizontal="center" vertical="center" wrapText="1"/>
    </xf>
    <xf numFmtId="0" fontId="40" fillId="3" borderId="5" xfId="9" applyBorder="1" applyAlignment="1">
      <alignment horizontal="center" vertical="center" wrapText="1"/>
    </xf>
    <xf numFmtId="0" fontId="0" fillId="2" borderId="36" xfId="25" applyFont="1" applyBorder="1">
      <alignment horizontal="left" vertical="center" wrapText="1"/>
    </xf>
    <xf numFmtId="0" fontId="0" fillId="2" borderId="8" xfId="25" applyFont="1" applyBorder="1" applyAlignment="1">
      <alignment horizontal="left" vertical="center" wrapText="1" indent="1"/>
    </xf>
    <xf numFmtId="0" fontId="0" fillId="2" borderId="4" xfId="27" applyFont="1" applyBorder="1">
      <alignment horizontal="left" vertical="center" wrapText="1" indent="2"/>
    </xf>
    <xf numFmtId="0" fontId="0" fillId="2" borderId="15" xfId="27" applyFont="1" applyBorder="1">
      <alignment horizontal="left" vertical="center" wrapText="1" indent="2"/>
    </xf>
    <xf numFmtId="0" fontId="0" fillId="2" borderId="8" xfId="0" applyBorder="1" applyAlignment="1">
      <alignment horizontal="left" indent="1"/>
    </xf>
    <xf numFmtId="0" fontId="0" fillId="2" borderId="15" xfId="0" applyBorder="1" applyAlignment="1">
      <alignment horizontal="left" indent="1"/>
    </xf>
    <xf numFmtId="0" fontId="23" fillId="12" borderId="0" xfId="0" applyFont="1" applyFill="1" applyAlignment="1">
      <alignment horizontal="left"/>
    </xf>
    <xf numFmtId="0" fontId="24" fillId="13" borderId="16" xfId="0" applyFont="1" applyFill="1" applyBorder="1" applyAlignment="1">
      <alignment horizontal="left"/>
    </xf>
    <xf numFmtId="0" fontId="24" fillId="13" borderId="15" xfId="0" applyFont="1" applyFill="1" applyBorder="1" applyAlignment="1">
      <alignment horizontal="left"/>
    </xf>
    <xf numFmtId="0" fontId="24" fillId="13" borderId="18" xfId="0" applyFont="1" applyFill="1" applyBorder="1" applyAlignment="1">
      <alignment vertical="center"/>
    </xf>
    <xf numFmtId="0" fontId="18" fillId="12" borderId="0" xfId="0" applyFont="1" applyFill="1" applyAlignment="1">
      <alignment horizontal="center"/>
    </xf>
    <xf numFmtId="0" fontId="24" fillId="13" borderId="14" xfId="0" applyFont="1" applyFill="1" applyBorder="1" applyAlignment="1">
      <alignment horizontal="left" vertical="top" wrapText="1"/>
    </xf>
    <xf numFmtId="0" fontId="24" fillId="13" borderId="21" xfId="0" applyFont="1" applyFill="1" applyBorder="1" applyAlignment="1">
      <alignment horizontal="left" vertical="top" wrapText="1"/>
    </xf>
    <xf numFmtId="0" fontId="24" fillId="13" borderId="14" xfId="0" applyFont="1" applyFill="1" applyBorder="1" applyAlignment="1">
      <alignment horizontal="right" vertical="top" wrapText="1"/>
    </xf>
    <xf numFmtId="0" fontId="24" fillId="13" borderId="21" xfId="0" applyFont="1" applyFill="1" applyBorder="1" applyAlignment="1">
      <alignment horizontal="right" vertical="top" wrapText="1"/>
    </xf>
    <xf numFmtId="0" fontId="24" fillId="13" borderId="16" xfId="0" applyFont="1" applyFill="1" applyBorder="1" applyAlignment="1">
      <alignment horizontal="center"/>
    </xf>
    <xf numFmtId="0" fontId="24" fillId="13" borderId="8" xfId="0" applyFont="1" applyFill="1" applyBorder="1" applyAlignment="1">
      <alignment horizontal="center"/>
    </xf>
    <xf numFmtId="0" fontId="24" fillId="13" borderId="15" xfId="0" applyFont="1" applyFill="1" applyBorder="1" applyAlignment="1">
      <alignment horizontal="center"/>
    </xf>
    <xf numFmtId="0" fontId="25" fillId="2" borderId="8" xfId="0" applyFont="1" applyBorder="1" applyAlignment="1" applyProtection="1">
      <alignment horizontal="left"/>
      <protection locked="0"/>
    </xf>
    <xf numFmtId="0" fontId="25" fillId="2" borderId="15" xfId="0" applyFont="1" applyBorder="1" applyAlignment="1" applyProtection="1">
      <alignment horizontal="left"/>
      <protection locked="0"/>
    </xf>
    <xf numFmtId="0" fontId="24" fillId="12" borderId="0" xfId="0" applyFont="1" applyFill="1" applyAlignment="1">
      <alignment horizontal="center"/>
    </xf>
    <xf numFmtId="0" fontId="27" fillId="12" borderId="0" xfId="0" applyFont="1" applyFill="1" applyAlignment="1">
      <alignment horizontal="left"/>
    </xf>
    <xf numFmtId="0" fontId="27" fillId="12" borderId="0" xfId="0" applyFont="1" applyFill="1" applyAlignment="1">
      <alignment horizontal="right"/>
    </xf>
    <xf numFmtId="0" fontId="16" fillId="0" borderId="14" xfId="0" applyFont="1" applyFill="1" applyBorder="1" applyAlignment="1">
      <alignment horizontal="left"/>
    </xf>
    <xf numFmtId="0" fontId="16" fillId="0" borderId="17" xfId="0" applyFont="1" applyFill="1" applyBorder="1" applyAlignment="1">
      <alignment horizontal="left"/>
    </xf>
    <xf numFmtId="0" fontId="16" fillId="0" borderId="16" xfId="0" applyFont="1" applyFill="1" applyBorder="1" applyAlignment="1">
      <alignment horizontal="center"/>
    </xf>
    <xf numFmtId="0" fontId="16" fillId="0" borderId="8" xfId="0" applyFont="1" applyFill="1" applyBorder="1" applyAlignment="1">
      <alignment horizontal="center"/>
    </xf>
    <xf numFmtId="0" fontId="16" fillId="0" borderId="15" xfId="0" applyFont="1" applyFill="1" applyBorder="1" applyAlignment="1">
      <alignment horizontal="center"/>
    </xf>
    <xf numFmtId="0" fontId="15" fillId="2" borderId="0" xfId="0" applyFont="1" applyAlignment="1">
      <alignment horizontal="left"/>
    </xf>
    <xf numFmtId="0" fontId="16" fillId="2" borderId="16" xfId="0" applyFont="1" applyBorder="1" applyAlignment="1">
      <alignment horizontal="center"/>
    </xf>
    <xf numFmtId="0" fontId="16" fillId="2" borderId="8" xfId="0" applyFont="1" applyBorder="1" applyAlignment="1">
      <alignment horizontal="center"/>
    </xf>
    <xf numFmtId="0" fontId="16" fillId="2" borderId="15" xfId="0" applyFont="1" applyBorder="1" applyAlignment="1">
      <alignment horizontal="center"/>
    </xf>
    <xf numFmtId="0" fontId="16" fillId="2" borderId="14" xfId="0" applyFont="1" applyBorder="1" applyAlignment="1">
      <alignment horizontal="left"/>
    </xf>
    <xf numFmtId="0" fontId="16" fillId="2" borderId="17" xfId="0" applyFont="1" applyBorder="1" applyAlignment="1">
      <alignment horizontal="left"/>
    </xf>
    <xf numFmtId="0" fontId="17" fillId="0" borderId="0" xfId="0" applyFont="1" applyFill="1" applyAlignment="1">
      <alignment horizontal="left"/>
    </xf>
    <xf numFmtId="0" fontId="15" fillId="2" borderId="0" xfId="0" applyFont="1" applyAlignment="1">
      <alignment horizontal="left" vertical="top" wrapText="1"/>
    </xf>
  </cellXfs>
  <cellStyles count="30">
    <cellStyle name="Bad" xfId="13" builtinId="27" hidden="1"/>
    <cellStyle name="Calculated Field" xfId="9" xr:uid="{00000000-0005-0000-0000-000001000000}"/>
    <cellStyle name="Calculated Field Total" xfId="29" xr:uid="{00000000-0005-0000-0000-000002000000}"/>
    <cellStyle name="Calculation" xfId="17" builtinId="22" hidden="1"/>
    <cellStyle name="Check Cell" xfId="19" builtinId="23" hidden="1"/>
    <cellStyle name="Explanatory Text" xfId="5" builtinId="53" customBuiltin="1"/>
    <cellStyle name="Followed Hyperlink" xfId="8" builtinId="9" customBuiltin="1"/>
    <cellStyle name="Formula" xfId="10" xr:uid="{00000000-0005-0000-0000-000007000000}"/>
    <cellStyle name="Formula Workings" xfId="22" xr:uid="{00000000-0005-0000-0000-000008000000}"/>
    <cellStyle name="Good" xfId="12" builtinId="26" hidden="1"/>
    <cellStyle name="Heading 1" xfId="2" builtinId="16" customBuiltin="1"/>
    <cellStyle name="Heading 2" xfId="3" builtinId="17" customBuiltin="1"/>
    <cellStyle name="Heading 3" xfId="4" builtinId="18" customBuiltin="1"/>
    <cellStyle name="Heading 4" xfId="11" builtinId="19" customBuiltin="1"/>
    <cellStyle name="Hyperlink" xfId="7" builtinId="8" customBuiltin="1"/>
    <cellStyle name="Input" xfId="15" builtinId="20" hidden="1"/>
    <cellStyle name="Input Required" xfId="6" xr:uid="{00000000-0005-0000-0000-000010000000}"/>
    <cellStyle name="Linked Cell" xfId="18" builtinId="24" hidden="1"/>
    <cellStyle name="Neutral" xfId="14" builtinId="28" hidden="1"/>
    <cellStyle name="Normal" xfId="0" builtinId="0" customBuiltin="1"/>
    <cellStyle name="Note" xfId="21" builtinId="10" hidden="1"/>
    <cellStyle name="Output" xfId="16" builtinId="21" hidden="1"/>
    <cellStyle name="Reference to Supplementary Planning Document" xfId="23" xr:uid="{00000000-0005-0000-0000-000016000000}"/>
    <cellStyle name="Requirement" xfId="24" xr:uid="{00000000-0005-0000-0000-000017000000}"/>
    <cellStyle name="Summary Table Main" xfId="25" xr:uid="{00000000-0005-0000-0000-000018000000}"/>
    <cellStyle name="Summary Table Sub" xfId="26" xr:uid="{00000000-0005-0000-0000-000019000000}"/>
    <cellStyle name="Summary Table Sub Sub" xfId="27" xr:uid="{00000000-0005-0000-0000-00001A000000}"/>
    <cellStyle name="Table Heading" xfId="28" xr:uid="{00000000-0005-0000-0000-00001B000000}"/>
    <cellStyle name="Title" xfId="1" builtinId="15" customBuiltin="1"/>
    <cellStyle name="Warning Text" xfId="20" builtinId="11" hidden="1"/>
  </cellStyles>
  <dxfs count="49">
    <dxf>
      <font>
        <b val="0"/>
        <i val="0"/>
        <color theme="0"/>
      </font>
    </dxf>
    <dxf>
      <font>
        <b val="0"/>
        <i val="0"/>
        <color auto="1"/>
      </font>
      <fill>
        <patternFill>
          <bgColor theme="6"/>
        </patternFill>
      </fill>
    </dxf>
    <dxf>
      <font>
        <b val="0"/>
        <i val="0"/>
        <color theme="0"/>
      </font>
      <fill>
        <patternFill>
          <bgColor theme="0" tint="-0.499984740745262"/>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theme="0"/>
      </font>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b val="0"/>
        <i val="0"/>
        <color auto="1"/>
      </font>
      <fill>
        <patternFill>
          <bgColor theme="6"/>
        </patternFill>
      </fill>
    </dxf>
    <dxf>
      <font>
        <color auto="1"/>
      </font>
      <fill>
        <patternFill>
          <bgColor theme="6"/>
        </patternFill>
      </fill>
    </dxf>
    <dxf>
      <font>
        <b val="0"/>
        <i val="0"/>
        <color auto="1"/>
      </font>
      <fill>
        <patternFill>
          <bgColor theme="6"/>
        </patternFill>
      </fill>
    </dxf>
    <dxf>
      <font>
        <b val="0"/>
        <i val="0"/>
        <color auto="1"/>
      </font>
      <fill>
        <patternFill>
          <bgColor theme="6"/>
        </patternFill>
      </fill>
    </dxf>
  </dxfs>
  <tableStyles count="0" defaultTableStyle="TableStyleMedium2" defaultPivotStyle="PivotStyleLight16"/>
  <colors>
    <mruColors>
      <color rgb="FFAB4F4F"/>
      <color rgb="FFB15757"/>
      <color rgb="FFBD3535"/>
      <color rgb="FF922E2E"/>
      <color rgb="FFAA4F40"/>
      <color rgb="FFB05242"/>
      <color rgb="FFB3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76200</xdr:colOff>
      <xdr:row>18</xdr:row>
      <xdr:rowOff>85725</xdr:rowOff>
    </xdr:from>
    <xdr:to>
      <xdr:col>9</xdr:col>
      <xdr:colOff>85725</xdr:colOff>
      <xdr:row>20</xdr:row>
      <xdr:rowOff>47625</xdr:rowOff>
    </xdr:to>
    <xdr:sp macro="[0]!CalculateYield" textlink="">
      <xdr:nvSpPr>
        <xdr:cNvPr id="2" name="Rectangle 2">
          <a:extLst>
            <a:ext uri="{FF2B5EF4-FFF2-40B4-BE49-F238E27FC236}">
              <a16:creationId xmlns:a16="http://schemas.microsoft.com/office/drawing/2014/main" id="{00000000-0008-0000-1300-000002000000}"/>
            </a:ext>
          </a:extLst>
        </xdr:cNvPr>
        <xdr:cNvSpPr>
          <a:spLocks noChangeArrowheads="1"/>
        </xdr:cNvSpPr>
      </xdr:nvSpPr>
      <xdr:spPr bwMode="auto">
        <a:xfrm>
          <a:off x="3733800" y="4714875"/>
          <a:ext cx="1838325" cy="476250"/>
        </a:xfrm>
        <a:prstGeom prst="rect">
          <a:avLst/>
        </a:prstGeom>
        <a:solidFill>
          <a:srgbClr xmlns:mc="http://schemas.openxmlformats.org/markup-compatibility/2006" xmlns:a14="http://schemas.microsoft.com/office/drawing/2010/main" val="C0C0C0" mc:Ignorable="a14" a14:legacySpreadsheetColorIndex="22"/>
        </a:solidFill>
        <a:ln w="25400">
          <a:solidFill>
            <a:srgbClr xmlns:mc="http://schemas.openxmlformats.org/markup-compatibility/2006" xmlns:a14="http://schemas.microsoft.com/office/drawing/2010/main" val="800000" mc:Ignorable="a14" a14:legacySpreadsheetColorIndex="16"/>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Calculate Population Yield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28</xdr:row>
      <xdr:rowOff>38100</xdr:rowOff>
    </xdr:from>
    <xdr:to>
      <xdr:col>7</xdr:col>
      <xdr:colOff>523875</xdr:colOff>
      <xdr:row>29</xdr:row>
      <xdr:rowOff>247650</xdr:rowOff>
    </xdr:to>
    <xdr:sp macro="[0]!Printpages" textlink="">
      <xdr:nvSpPr>
        <xdr:cNvPr id="2" name="Rectangle 6">
          <a:extLst>
            <a:ext uri="{FF2B5EF4-FFF2-40B4-BE49-F238E27FC236}">
              <a16:creationId xmlns:a16="http://schemas.microsoft.com/office/drawing/2014/main" id="{00000000-0008-0000-1400-000002000000}"/>
            </a:ext>
          </a:extLst>
        </xdr:cNvPr>
        <xdr:cNvSpPr>
          <a:spLocks noChangeArrowheads="1"/>
        </xdr:cNvSpPr>
      </xdr:nvSpPr>
      <xdr:spPr bwMode="auto">
        <a:xfrm>
          <a:off x="3133725" y="7239000"/>
          <a:ext cx="1657350" cy="466725"/>
        </a:xfrm>
        <a:prstGeom prst="rect">
          <a:avLst/>
        </a:prstGeom>
        <a:solidFill>
          <a:srgbClr xmlns:mc="http://schemas.openxmlformats.org/markup-compatibility/2006" xmlns:a14="http://schemas.microsoft.com/office/drawing/2010/main" val="C0C0C0" mc:Ignorable="a14" a14:legacySpreadsheetColorIndex="22"/>
        </a:solidFill>
        <a:ln w="25400" algn="ctr">
          <a:solidFill>
            <a:srgbClr xmlns:mc="http://schemas.openxmlformats.org/markup-compatibility/2006" xmlns:a14="http://schemas.microsoft.com/office/drawing/2010/main" val="800000" mc:Ignorable="a14" a14:legacySpreadsheetColorIndex="16"/>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6576" rIns="45720" bIns="36576" anchor="ctr" upright="1"/>
        <a:lstStyle/>
        <a:p>
          <a:pPr algn="ctr" rtl="0">
            <a:defRPr sz="1000"/>
          </a:pPr>
          <a:r>
            <a:rPr lang="en-GB" sz="1800" b="1" i="0" u="none" strike="noStrike" baseline="0">
              <a:solidFill>
                <a:srgbClr val="000000"/>
              </a:solidFill>
              <a:latin typeface="Arial"/>
              <a:cs typeface="Arial"/>
            </a:rPr>
            <a:t>Print Results</a:t>
          </a:r>
        </a:p>
      </xdr:txBody>
    </xdr:sp>
    <xdr:clientData/>
  </xdr:twoCellAnchor>
</xdr:wsDr>
</file>

<file path=xl/theme/theme1.xml><?xml version="1.0" encoding="utf-8"?>
<a:theme xmlns:a="http://schemas.openxmlformats.org/drawingml/2006/main" name="Office Theme">
  <a:themeElements>
    <a:clrScheme name="Waveform">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Wandsworth Local Plan">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wandsworth.gov.uk/media/1634/population_yield_calculator.xls" TargetMode="External"/><Relationship Id="rId1" Type="http://schemas.openxmlformats.org/officeDocument/2006/relationships/hyperlink" Target="https://www.wandsworth.gov.uk/media/1634/population_yield_calculator.xl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wandsworth.gov.uk/media/1634/population_yield_calculator.xls" TargetMode="External"/><Relationship Id="rId2" Type="http://schemas.openxmlformats.org/officeDocument/2006/relationships/hyperlink" Target="http://www.wandsworth.gov.uk/downloads/file/8301/population_yield_calculator" TargetMode="External"/><Relationship Id="rId1" Type="http://schemas.openxmlformats.org/officeDocument/2006/relationships/hyperlink" Target="http://www.wandsworth.gov.uk/downloads/file/8301/population_yield_calculator" TargetMode="External"/><Relationship Id="rId5" Type="http://schemas.openxmlformats.org/officeDocument/2006/relationships/printerSettings" Target="../printerSettings/printerSettings11.bin"/><Relationship Id="rId4" Type="http://schemas.openxmlformats.org/officeDocument/2006/relationships/hyperlink" Target="https://www.wandsworth.gov.uk/media/1634/population_yield_calculator.xl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wandsworth.gov.uk/info/1004/planning_policy/479/order_paper_copies_of_our_publication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lanninginformation@wandsworth.gov.u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Q55"/>
  <sheetViews>
    <sheetView tabSelected="1" topLeftCell="A25" workbookViewId="0">
      <selection activeCell="C7" sqref="C7:F7"/>
    </sheetView>
  </sheetViews>
  <sheetFormatPr defaultColWidth="9.140625" defaultRowHeight="12.75" x14ac:dyDescent="0.2"/>
  <cols>
    <col min="1" max="2" width="2.7109375" customWidth="1"/>
    <col min="3" max="3" width="9.28515625" customWidth="1"/>
    <col min="4" max="5" width="9.140625" customWidth="1"/>
    <col min="17" max="17" width="2.7109375" customWidth="1"/>
  </cols>
  <sheetData>
    <row r="2" spans="2:17" x14ac:dyDescent="0.2">
      <c r="B2" s="90"/>
      <c r="C2" s="91"/>
      <c r="D2" s="91"/>
      <c r="E2" s="91"/>
      <c r="F2" s="91"/>
      <c r="G2" s="91"/>
      <c r="H2" s="91"/>
      <c r="I2" s="91"/>
      <c r="J2" s="91"/>
      <c r="K2" s="91"/>
      <c r="L2" s="91"/>
      <c r="M2" s="91"/>
      <c r="N2" s="91"/>
      <c r="O2" s="91"/>
      <c r="P2" s="91"/>
      <c r="Q2" s="92"/>
    </row>
    <row r="3" spans="2:17" ht="41.25" customHeight="1" x14ac:dyDescent="0.3">
      <c r="B3" s="93"/>
      <c r="C3" s="223" t="s">
        <v>0</v>
      </c>
      <c r="D3" s="223"/>
      <c r="E3" s="223"/>
      <c r="F3" s="223"/>
      <c r="G3" s="223"/>
      <c r="H3" s="223"/>
      <c r="I3" s="223"/>
      <c r="J3" s="223"/>
      <c r="K3" s="223"/>
      <c r="L3" s="223"/>
      <c r="M3" s="223"/>
      <c r="N3" s="223"/>
      <c r="O3" s="223"/>
      <c r="P3" s="223"/>
      <c r="Q3" s="94"/>
    </row>
    <row r="4" spans="2:17" ht="12.75" customHeight="1" x14ac:dyDescent="0.2">
      <c r="B4" s="93"/>
      <c r="Q4" s="94"/>
    </row>
    <row r="5" spans="2:17" ht="19.5" thickBot="1" x14ac:dyDescent="0.3">
      <c r="B5" s="95"/>
      <c r="C5" s="104" t="s">
        <v>1</v>
      </c>
      <c r="D5" s="96"/>
      <c r="E5" s="96"/>
      <c r="F5" s="96"/>
      <c r="G5" s="96"/>
      <c r="H5" s="96"/>
      <c r="I5" s="96"/>
      <c r="J5" s="96"/>
      <c r="K5" s="96"/>
      <c r="L5" s="96"/>
      <c r="M5" s="96"/>
      <c r="N5" s="96"/>
      <c r="O5" s="96"/>
      <c r="P5" s="96"/>
      <c r="Q5" s="97"/>
    </row>
    <row r="6" spans="2:17" ht="12.75" customHeight="1" thickTop="1" x14ac:dyDescent="0.2">
      <c r="B6" s="93"/>
      <c r="Q6" s="94"/>
    </row>
    <row r="7" spans="2:17" ht="12.75" customHeight="1" x14ac:dyDescent="0.2">
      <c r="B7" s="93"/>
      <c r="C7" s="221" t="s">
        <v>2</v>
      </c>
      <c r="D7" s="221"/>
      <c r="E7" s="221"/>
      <c r="F7" s="221"/>
      <c r="Q7" s="94"/>
    </row>
    <row r="8" spans="2:17" ht="6" customHeight="1" x14ac:dyDescent="0.2">
      <c r="B8" s="93"/>
      <c r="C8" s="222"/>
      <c r="D8" s="222"/>
      <c r="E8" s="222"/>
      <c r="F8" s="222"/>
      <c r="Q8" s="94"/>
    </row>
    <row r="9" spans="2:17" ht="12.75" customHeight="1" x14ac:dyDescent="0.2">
      <c r="B9" s="93"/>
      <c r="C9" s="221" t="s">
        <v>3</v>
      </c>
      <c r="D9" s="221"/>
      <c r="E9" s="221"/>
      <c r="F9" s="221"/>
      <c r="Q9" s="94"/>
    </row>
    <row r="10" spans="2:17" ht="6" customHeight="1" x14ac:dyDescent="0.2">
      <c r="B10" s="93"/>
      <c r="C10" s="222"/>
      <c r="D10" s="222"/>
      <c r="E10" s="222"/>
      <c r="F10" s="222"/>
      <c r="Q10" s="94"/>
    </row>
    <row r="11" spans="2:17" ht="12.75" customHeight="1" x14ac:dyDescent="0.2">
      <c r="B11" s="93"/>
      <c r="C11" s="221" t="s">
        <v>4</v>
      </c>
      <c r="D11" s="221"/>
      <c r="E11" s="221"/>
      <c r="F11" s="221"/>
      <c r="Q11" s="94"/>
    </row>
    <row r="12" spans="2:17" ht="6" customHeight="1" x14ac:dyDescent="0.2">
      <c r="B12" s="93"/>
      <c r="C12" s="222"/>
      <c r="D12" s="222"/>
      <c r="E12" s="222"/>
      <c r="F12" s="222"/>
      <c r="Q12" s="94"/>
    </row>
    <row r="13" spans="2:17" ht="12.75" customHeight="1" x14ac:dyDescent="0.2">
      <c r="B13" s="93"/>
      <c r="C13" s="221" t="s">
        <v>5</v>
      </c>
      <c r="D13" s="221"/>
      <c r="E13" s="221"/>
      <c r="F13" s="221"/>
      <c r="Q13" s="94"/>
    </row>
    <row r="14" spans="2:17" ht="6" customHeight="1" thickBot="1" x14ac:dyDescent="0.25">
      <c r="B14" s="93"/>
      <c r="C14" s="211"/>
      <c r="D14" s="211"/>
      <c r="E14" s="211"/>
      <c r="F14" s="211"/>
      <c r="Q14" s="94" t="s">
        <v>6</v>
      </c>
    </row>
    <row r="15" spans="2:17" ht="26.25" customHeight="1" thickBot="1" x14ac:dyDescent="0.25">
      <c r="B15" s="93"/>
      <c r="C15" s="212" t="s">
        <v>7</v>
      </c>
      <c r="D15" s="212"/>
      <c r="E15" s="212"/>
      <c r="F15" s="212"/>
      <c r="G15" s="212"/>
      <c r="H15" s="212"/>
      <c r="I15" s="220" t="s">
        <v>8</v>
      </c>
      <c r="J15" s="220"/>
      <c r="K15" s="220"/>
      <c r="L15" s="220"/>
      <c r="M15" s="220"/>
      <c r="N15" s="220"/>
      <c r="O15" s="220"/>
      <c r="P15" s="220"/>
      <c r="Q15" s="94"/>
    </row>
    <row r="16" spans="2:17" x14ac:dyDescent="0.2">
      <c r="B16" s="93"/>
      <c r="C16" s="5">
        <v>1</v>
      </c>
      <c r="D16" s="208" t="s">
        <v>9</v>
      </c>
      <c r="E16" s="208"/>
      <c r="F16" s="208"/>
      <c r="G16" s="208"/>
      <c r="H16" s="208"/>
      <c r="I16" s="215" t="s">
        <v>10</v>
      </c>
      <c r="J16" s="215"/>
      <c r="K16" s="215"/>
      <c r="L16" s="215"/>
      <c r="M16" s="215"/>
      <c r="N16" s="215"/>
      <c r="O16" s="215"/>
      <c r="P16" s="215"/>
      <c r="Q16" s="94"/>
    </row>
    <row r="17" spans="2:17" x14ac:dyDescent="0.2">
      <c r="B17" s="93"/>
      <c r="C17" s="4" t="s">
        <v>11</v>
      </c>
      <c r="D17" s="204" t="s">
        <v>12</v>
      </c>
      <c r="E17" s="204"/>
      <c r="F17" s="204"/>
      <c r="G17" s="204"/>
      <c r="H17" s="204"/>
      <c r="I17" s="215" t="s">
        <v>13</v>
      </c>
      <c r="J17" s="215"/>
      <c r="K17" s="215"/>
      <c r="L17" s="215"/>
      <c r="M17" s="215"/>
      <c r="N17" s="215"/>
      <c r="O17" s="215"/>
      <c r="P17" s="215"/>
      <c r="Q17" s="94"/>
    </row>
    <row r="18" spans="2:17" x14ac:dyDescent="0.2">
      <c r="B18" s="93"/>
      <c r="C18" s="4" t="s">
        <v>14</v>
      </c>
      <c r="D18" s="204" t="s">
        <v>15</v>
      </c>
      <c r="E18" s="204"/>
      <c r="F18" s="204"/>
      <c r="G18" s="204"/>
      <c r="H18" s="204"/>
      <c r="I18" s="215" t="s">
        <v>13</v>
      </c>
      <c r="J18" s="215"/>
      <c r="K18" s="215"/>
      <c r="L18" s="215"/>
      <c r="M18" s="215"/>
      <c r="N18" s="215"/>
      <c r="O18" s="215"/>
      <c r="P18" s="215"/>
      <c r="Q18" s="94"/>
    </row>
    <row r="19" spans="2:17" x14ac:dyDescent="0.2">
      <c r="B19" s="93"/>
      <c r="C19" s="11">
        <v>2</v>
      </c>
      <c r="D19" s="207" t="s">
        <v>16</v>
      </c>
      <c r="E19" s="207"/>
      <c r="F19" s="207"/>
      <c r="G19" s="207"/>
      <c r="H19" s="207"/>
      <c r="I19" s="213" t="s">
        <v>10</v>
      </c>
      <c r="J19" s="213"/>
      <c r="K19" s="213"/>
      <c r="L19" s="213"/>
      <c r="M19" s="213"/>
      <c r="N19" s="213"/>
      <c r="O19" s="213"/>
      <c r="P19" s="213"/>
      <c r="Q19" s="94"/>
    </row>
    <row r="20" spans="2:17" x14ac:dyDescent="0.2">
      <c r="B20" s="93"/>
      <c r="C20" s="11">
        <v>3</v>
      </c>
      <c r="D20" s="207" t="s">
        <v>17</v>
      </c>
      <c r="E20" s="207"/>
      <c r="F20" s="207"/>
      <c r="G20" s="207"/>
      <c r="H20" s="207"/>
      <c r="I20" s="213" t="s">
        <v>10</v>
      </c>
      <c r="J20" s="213"/>
      <c r="K20" s="213"/>
      <c r="L20" s="213"/>
      <c r="M20" s="213"/>
      <c r="N20" s="213"/>
      <c r="O20" s="213"/>
      <c r="P20" s="213"/>
      <c r="Q20" s="94"/>
    </row>
    <row r="21" spans="2:17" ht="25.5" customHeight="1" x14ac:dyDescent="0.2">
      <c r="B21" s="93"/>
      <c r="C21" s="6" t="s">
        <v>18</v>
      </c>
      <c r="D21" s="208" t="s">
        <v>19</v>
      </c>
      <c r="E21" s="208"/>
      <c r="F21" s="208"/>
      <c r="G21" s="208"/>
      <c r="H21" s="208"/>
      <c r="I21" s="215" t="s">
        <v>10</v>
      </c>
      <c r="J21" s="215"/>
      <c r="K21" s="215"/>
      <c r="L21" s="215"/>
      <c r="M21" s="215"/>
      <c r="N21" s="215"/>
      <c r="O21" s="215"/>
      <c r="P21" s="215"/>
      <c r="Q21" s="94"/>
    </row>
    <row r="22" spans="2:17" x14ac:dyDescent="0.2">
      <c r="B22" s="93"/>
      <c r="C22" s="4" t="s">
        <v>20</v>
      </c>
      <c r="D22" s="204" t="s">
        <v>21</v>
      </c>
      <c r="E22" s="204"/>
      <c r="F22" s="204"/>
      <c r="G22" s="204"/>
      <c r="H22" s="204"/>
      <c r="I22" s="202" t="s">
        <v>22</v>
      </c>
      <c r="J22" s="202"/>
      <c r="K22" s="202"/>
      <c r="L22" s="202"/>
      <c r="M22" s="202"/>
      <c r="N22" s="202"/>
      <c r="O22" s="202"/>
      <c r="P22" s="202"/>
      <c r="Q22" s="94"/>
    </row>
    <row r="23" spans="2:17" x14ac:dyDescent="0.2">
      <c r="B23" s="93"/>
      <c r="C23" s="4" t="s">
        <v>23</v>
      </c>
      <c r="D23" s="204" t="s">
        <v>24</v>
      </c>
      <c r="E23" s="204"/>
      <c r="F23" s="204"/>
      <c r="G23" s="204"/>
      <c r="H23" s="204"/>
      <c r="I23" s="215" t="s">
        <v>13</v>
      </c>
      <c r="J23" s="215"/>
      <c r="K23" s="215"/>
      <c r="L23" s="215"/>
      <c r="M23" s="215"/>
      <c r="N23" s="215"/>
      <c r="O23" s="215"/>
      <c r="P23" s="215"/>
      <c r="Q23" s="94"/>
    </row>
    <row r="24" spans="2:17" x14ac:dyDescent="0.2">
      <c r="B24" s="93"/>
      <c r="C24" s="11">
        <v>5</v>
      </c>
      <c r="D24" s="207" t="s">
        <v>25</v>
      </c>
      <c r="E24" s="207"/>
      <c r="F24" s="207"/>
      <c r="G24" s="207"/>
      <c r="H24" s="207"/>
      <c r="I24" s="216" t="s">
        <v>26</v>
      </c>
      <c r="J24" s="216"/>
      <c r="K24" s="216"/>
      <c r="L24" s="216"/>
      <c r="M24" s="216"/>
      <c r="N24" s="216"/>
      <c r="O24" s="216"/>
      <c r="P24" s="216"/>
      <c r="Q24" s="94"/>
    </row>
    <row r="25" spans="2:17" ht="25.5" customHeight="1" x14ac:dyDescent="0.2">
      <c r="B25" s="93"/>
      <c r="C25" s="5">
        <v>6</v>
      </c>
      <c r="D25" s="208" t="s">
        <v>27</v>
      </c>
      <c r="E25" s="208"/>
      <c r="F25" s="208"/>
      <c r="G25" s="208"/>
      <c r="H25" s="208"/>
      <c r="I25" s="214" t="s">
        <v>10</v>
      </c>
      <c r="J25" s="214"/>
      <c r="K25" s="214"/>
      <c r="L25" s="214"/>
      <c r="M25" s="214"/>
      <c r="N25" s="214"/>
      <c r="O25" s="214"/>
      <c r="P25" s="214"/>
      <c r="Q25" s="94"/>
    </row>
    <row r="26" spans="2:17" ht="25.5" customHeight="1" x14ac:dyDescent="0.2">
      <c r="B26" s="93"/>
      <c r="C26" s="7">
        <v>6.12</v>
      </c>
      <c r="D26" s="204" t="s">
        <v>28</v>
      </c>
      <c r="E26" s="204"/>
      <c r="F26" s="204"/>
      <c r="G26" s="204"/>
      <c r="H26" s="204"/>
      <c r="I26" s="202" t="s">
        <v>29</v>
      </c>
      <c r="J26" s="202"/>
      <c r="K26" s="202"/>
      <c r="L26" s="202"/>
      <c r="M26" s="202"/>
      <c r="N26" s="202"/>
      <c r="O26" s="202"/>
      <c r="P26" s="202"/>
      <c r="Q26" s="94"/>
    </row>
    <row r="27" spans="2:17" x14ac:dyDescent="0.2">
      <c r="B27" s="93"/>
      <c r="C27" s="7">
        <v>6.13</v>
      </c>
      <c r="D27" s="204" t="s">
        <v>30</v>
      </c>
      <c r="E27" s="204"/>
      <c r="F27" s="204"/>
      <c r="G27" s="204"/>
      <c r="H27" s="204"/>
      <c r="I27" s="202" t="s">
        <v>31</v>
      </c>
      <c r="J27" s="202"/>
      <c r="K27" s="202"/>
      <c r="L27" s="202"/>
      <c r="M27" s="202"/>
      <c r="N27" s="202"/>
      <c r="O27" s="202"/>
      <c r="P27" s="202"/>
      <c r="Q27" s="94"/>
    </row>
    <row r="28" spans="2:17" ht="26.25" customHeight="1" x14ac:dyDescent="0.2">
      <c r="B28" s="93"/>
      <c r="C28" s="4">
        <v>6.14</v>
      </c>
      <c r="D28" s="204" t="s">
        <v>32</v>
      </c>
      <c r="E28" s="204"/>
      <c r="F28" s="204"/>
      <c r="G28" s="204"/>
      <c r="H28" s="204"/>
      <c r="I28" s="202" t="s">
        <v>31</v>
      </c>
      <c r="J28" s="202"/>
      <c r="K28" s="202"/>
      <c r="L28" s="202"/>
      <c r="M28" s="202"/>
      <c r="N28" s="202"/>
      <c r="O28" s="202"/>
      <c r="P28" s="202"/>
      <c r="Q28" s="94"/>
    </row>
    <row r="29" spans="2:17" x14ac:dyDescent="0.2">
      <c r="B29" s="93"/>
      <c r="C29" s="4" t="s">
        <v>33</v>
      </c>
      <c r="D29" s="204" t="s">
        <v>34</v>
      </c>
      <c r="E29" s="204"/>
      <c r="F29" s="204"/>
      <c r="G29" s="204"/>
      <c r="H29" s="204"/>
      <c r="I29" s="203" t="s">
        <v>35</v>
      </c>
      <c r="J29" s="203"/>
      <c r="K29" s="203"/>
      <c r="L29" s="203"/>
      <c r="M29" s="203"/>
      <c r="N29" s="203"/>
      <c r="O29" s="203"/>
      <c r="P29" s="203"/>
      <c r="Q29" s="94"/>
    </row>
    <row r="30" spans="2:17" x14ac:dyDescent="0.2">
      <c r="B30" s="93"/>
      <c r="C30" s="11">
        <v>7</v>
      </c>
      <c r="D30" s="207" t="s">
        <v>36</v>
      </c>
      <c r="E30" s="207"/>
      <c r="F30" s="207"/>
      <c r="G30" s="207"/>
      <c r="H30" s="207"/>
      <c r="I30" s="216" t="s">
        <v>37</v>
      </c>
      <c r="J30" s="216"/>
      <c r="K30" s="216"/>
      <c r="L30" s="216"/>
      <c r="M30" s="216"/>
      <c r="N30" s="216"/>
      <c r="O30" s="216"/>
      <c r="P30" s="216"/>
      <c r="Q30" s="94"/>
    </row>
    <row r="31" spans="2:17" x14ac:dyDescent="0.2">
      <c r="B31" s="93"/>
      <c r="C31" s="195">
        <v>8</v>
      </c>
      <c r="D31" s="210" t="s">
        <v>38</v>
      </c>
      <c r="E31" s="210"/>
      <c r="F31" s="210"/>
      <c r="G31" s="210"/>
      <c r="H31" s="210"/>
      <c r="I31" s="218" t="s">
        <v>39</v>
      </c>
      <c r="J31" s="218"/>
      <c r="K31" s="218"/>
      <c r="L31" s="218"/>
      <c r="M31" s="218"/>
      <c r="N31" s="218"/>
      <c r="O31" s="218"/>
      <c r="P31" s="218"/>
      <c r="Q31" s="94"/>
    </row>
    <row r="32" spans="2:17" x14ac:dyDescent="0.2">
      <c r="B32" s="93"/>
      <c r="C32" s="5"/>
      <c r="D32" s="204" t="s">
        <v>40</v>
      </c>
      <c r="E32" s="204"/>
      <c r="F32" s="204"/>
      <c r="G32" s="204"/>
      <c r="H32" s="204"/>
      <c r="I32" s="202" t="s">
        <v>39</v>
      </c>
      <c r="J32" s="202"/>
      <c r="K32" s="202"/>
      <c r="L32" s="202"/>
      <c r="M32" s="202"/>
      <c r="N32" s="202"/>
      <c r="O32" s="202"/>
      <c r="P32" s="202"/>
      <c r="Q32" s="94"/>
    </row>
    <row r="33" spans="2:17" x14ac:dyDescent="0.2">
      <c r="B33" s="93"/>
      <c r="C33" s="5"/>
      <c r="D33" s="204" t="s">
        <v>41</v>
      </c>
      <c r="E33" s="204"/>
      <c r="F33" s="204"/>
      <c r="G33" s="204"/>
      <c r="H33" s="204"/>
      <c r="I33" s="202" t="s">
        <v>39</v>
      </c>
      <c r="J33" s="202"/>
      <c r="K33" s="202"/>
      <c r="L33" s="202"/>
      <c r="M33" s="202"/>
      <c r="N33" s="202"/>
      <c r="O33" s="202"/>
      <c r="P33" s="202"/>
      <c r="Q33" s="94"/>
    </row>
    <row r="34" spans="2:17" x14ac:dyDescent="0.2">
      <c r="B34" s="93"/>
      <c r="C34" s="5"/>
      <c r="D34" s="204" t="s">
        <v>42</v>
      </c>
      <c r="E34" s="204"/>
      <c r="F34" s="204"/>
      <c r="G34" s="204"/>
      <c r="H34" s="204"/>
      <c r="I34" s="202" t="s">
        <v>39</v>
      </c>
      <c r="J34" s="202"/>
      <c r="K34" s="202"/>
      <c r="L34" s="202"/>
      <c r="M34" s="202"/>
      <c r="N34" s="202"/>
      <c r="O34" s="202"/>
      <c r="P34" s="202"/>
      <c r="Q34" s="94"/>
    </row>
    <row r="35" spans="2:17" x14ac:dyDescent="0.2">
      <c r="B35" s="93"/>
      <c r="C35" s="5"/>
      <c r="D35" s="204" t="s">
        <v>43</v>
      </c>
      <c r="E35" s="204"/>
      <c r="F35" s="204"/>
      <c r="G35" s="204"/>
      <c r="H35" s="204"/>
      <c r="I35" s="202" t="s">
        <v>39</v>
      </c>
      <c r="J35" s="202"/>
      <c r="K35" s="202"/>
      <c r="L35" s="202"/>
      <c r="M35" s="202"/>
      <c r="N35" s="202"/>
      <c r="O35" s="202"/>
      <c r="P35" s="202"/>
      <c r="Q35" s="94"/>
    </row>
    <row r="36" spans="2:17" x14ac:dyDescent="0.2">
      <c r="B36" s="93"/>
      <c r="C36" s="5"/>
      <c r="D36" s="204" t="s">
        <v>44</v>
      </c>
      <c r="E36" s="204"/>
      <c r="F36" s="204"/>
      <c r="G36" s="204"/>
      <c r="H36" s="204"/>
      <c r="I36" s="202" t="s">
        <v>39</v>
      </c>
      <c r="J36" s="202"/>
      <c r="K36" s="202"/>
      <c r="L36" s="202"/>
      <c r="M36" s="202"/>
      <c r="N36" s="202"/>
      <c r="O36" s="202"/>
      <c r="P36" s="202"/>
      <c r="Q36" s="94"/>
    </row>
    <row r="37" spans="2:17" x14ac:dyDescent="0.2">
      <c r="B37" s="93"/>
      <c r="C37" s="196"/>
      <c r="D37" s="205" t="s">
        <v>45</v>
      </c>
      <c r="E37" s="205"/>
      <c r="F37" s="205"/>
      <c r="G37" s="205"/>
      <c r="H37" s="205"/>
      <c r="I37" s="203" t="s">
        <v>39</v>
      </c>
      <c r="J37" s="203"/>
      <c r="K37" s="203"/>
      <c r="L37" s="203"/>
      <c r="M37" s="203"/>
      <c r="N37" s="203"/>
      <c r="O37" s="203"/>
      <c r="P37" s="203"/>
      <c r="Q37" s="94"/>
    </row>
    <row r="38" spans="2:17" x14ac:dyDescent="0.2">
      <c r="B38" s="93"/>
      <c r="C38" s="11">
        <v>9</v>
      </c>
      <c r="D38" s="207" t="s">
        <v>46</v>
      </c>
      <c r="E38" s="207"/>
      <c r="F38" s="207"/>
      <c r="G38" s="207"/>
      <c r="H38" s="207"/>
      <c r="I38" s="216" t="s">
        <v>47</v>
      </c>
      <c r="J38" s="216"/>
      <c r="K38" s="216"/>
      <c r="L38" s="216"/>
      <c r="M38" s="216"/>
      <c r="N38" s="216"/>
      <c r="O38" s="216"/>
      <c r="P38" s="216"/>
      <c r="Q38" s="94"/>
    </row>
    <row r="39" spans="2:17" x14ac:dyDescent="0.2">
      <c r="B39" s="93"/>
      <c r="C39" s="5">
        <v>10</v>
      </c>
      <c r="D39" s="208" t="s">
        <v>48</v>
      </c>
      <c r="E39" s="208"/>
      <c r="F39" s="208"/>
      <c r="G39" s="208"/>
      <c r="H39" s="208"/>
      <c r="I39" s="218" t="s">
        <v>49</v>
      </c>
      <c r="J39" s="218"/>
      <c r="K39" s="218"/>
      <c r="L39" s="218"/>
      <c r="M39" s="218"/>
      <c r="N39" s="218"/>
      <c r="O39" s="218"/>
      <c r="P39" s="218"/>
      <c r="Q39" s="94"/>
    </row>
    <row r="40" spans="2:17" x14ac:dyDescent="0.2">
      <c r="B40" s="93"/>
      <c r="C40" s="4" t="s">
        <v>50</v>
      </c>
      <c r="D40" s="204" t="s">
        <v>51</v>
      </c>
      <c r="E40" s="204"/>
      <c r="F40" s="204"/>
      <c r="G40" s="204"/>
      <c r="H40" s="204"/>
      <c r="I40" s="219" t="s">
        <v>49</v>
      </c>
      <c r="J40" s="219"/>
      <c r="K40" s="219"/>
      <c r="L40" s="219"/>
      <c r="M40" s="219"/>
      <c r="N40" s="219"/>
      <c r="O40" s="219"/>
      <c r="P40" s="219"/>
      <c r="Q40" s="94"/>
    </row>
    <row r="41" spans="2:17" x14ac:dyDescent="0.2">
      <c r="B41" s="93"/>
      <c r="C41" s="4" t="s">
        <v>52</v>
      </c>
      <c r="D41" s="204" t="s">
        <v>53</v>
      </c>
      <c r="E41" s="204"/>
      <c r="F41" s="204"/>
      <c r="G41" s="204"/>
      <c r="H41" s="204"/>
      <c r="I41" s="202" t="s">
        <v>49</v>
      </c>
      <c r="J41" s="202"/>
      <c r="K41" s="202"/>
      <c r="L41" s="202"/>
      <c r="M41" s="202"/>
      <c r="N41" s="202"/>
      <c r="O41" s="202"/>
      <c r="P41" s="202"/>
      <c r="Q41" s="94"/>
    </row>
    <row r="42" spans="2:17" x14ac:dyDescent="0.2">
      <c r="B42" s="93"/>
      <c r="C42" s="4" t="s">
        <v>54</v>
      </c>
      <c r="D42" s="204" t="s">
        <v>55</v>
      </c>
      <c r="E42" s="204"/>
      <c r="F42" s="204"/>
      <c r="G42" s="204"/>
      <c r="H42" s="204"/>
      <c r="I42" s="202" t="s">
        <v>49</v>
      </c>
      <c r="J42" s="202"/>
      <c r="K42" s="202"/>
      <c r="L42" s="202"/>
      <c r="M42" s="202"/>
      <c r="N42" s="202"/>
      <c r="O42" s="202"/>
      <c r="P42" s="202"/>
      <c r="Q42" s="94"/>
    </row>
    <row r="43" spans="2:17" x14ac:dyDescent="0.2">
      <c r="B43" s="93"/>
      <c r="C43" s="4" t="s">
        <v>56</v>
      </c>
      <c r="D43" s="204" t="s">
        <v>57</v>
      </c>
      <c r="E43" s="204"/>
      <c r="F43" s="204"/>
      <c r="G43" s="204"/>
      <c r="H43" s="204"/>
      <c r="I43" s="202" t="s">
        <v>49</v>
      </c>
      <c r="J43" s="202"/>
      <c r="K43" s="202"/>
      <c r="L43" s="202"/>
      <c r="M43" s="202"/>
      <c r="N43" s="202"/>
      <c r="O43" s="202"/>
      <c r="P43" s="202"/>
      <c r="Q43" s="94"/>
    </row>
    <row r="44" spans="2:17" x14ac:dyDescent="0.2">
      <c r="B44" s="93"/>
      <c r="C44" s="4" t="s">
        <v>58</v>
      </c>
      <c r="D44" s="204" t="s">
        <v>59</v>
      </c>
      <c r="E44" s="204"/>
      <c r="F44" s="204"/>
      <c r="G44" s="204"/>
      <c r="H44" s="204"/>
      <c r="I44" s="202" t="s">
        <v>60</v>
      </c>
      <c r="J44" s="202"/>
      <c r="K44" s="202"/>
      <c r="L44" s="202"/>
      <c r="M44" s="202"/>
      <c r="N44" s="202"/>
      <c r="O44" s="202"/>
      <c r="P44" s="202"/>
      <c r="Q44" s="94"/>
    </row>
    <row r="45" spans="2:17" x14ac:dyDescent="0.2">
      <c r="B45" s="93"/>
      <c r="C45" s="4" t="s">
        <v>61</v>
      </c>
      <c r="D45" s="204" t="s">
        <v>62</v>
      </c>
      <c r="E45" s="204"/>
      <c r="F45" s="204"/>
      <c r="G45" s="204"/>
      <c r="H45" s="204"/>
      <c r="I45" s="203" t="s">
        <v>60</v>
      </c>
      <c r="J45" s="203"/>
      <c r="K45" s="203"/>
      <c r="L45" s="203"/>
      <c r="M45" s="203"/>
      <c r="N45" s="203"/>
      <c r="O45" s="203"/>
      <c r="P45" s="203"/>
      <c r="Q45" s="94"/>
    </row>
    <row r="46" spans="2:17" x14ac:dyDescent="0.2">
      <c r="B46" s="93"/>
      <c r="C46" s="11">
        <v>11</v>
      </c>
      <c r="D46" s="207" t="s">
        <v>63</v>
      </c>
      <c r="E46" s="207"/>
      <c r="F46" s="207"/>
      <c r="G46" s="207"/>
      <c r="H46" s="207"/>
      <c r="I46" s="213" t="s">
        <v>13</v>
      </c>
      <c r="J46" s="213"/>
      <c r="K46" s="213"/>
      <c r="L46" s="213"/>
      <c r="M46" s="213"/>
      <c r="N46" s="213"/>
      <c r="O46" s="213"/>
      <c r="P46" s="213"/>
      <c r="Q46" s="94"/>
    </row>
    <row r="47" spans="2:17" x14ac:dyDescent="0.2">
      <c r="B47" s="93"/>
      <c r="C47" s="11">
        <v>12</v>
      </c>
      <c r="D47" s="207" t="s">
        <v>64</v>
      </c>
      <c r="E47" s="207"/>
      <c r="F47" s="207"/>
      <c r="G47" s="207"/>
      <c r="H47" s="207"/>
      <c r="I47" s="216" t="s">
        <v>65</v>
      </c>
      <c r="J47" s="216"/>
      <c r="K47" s="216"/>
      <c r="L47" s="216"/>
      <c r="M47" s="216"/>
      <c r="N47" s="216"/>
      <c r="O47" s="216"/>
      <c r="P47" s="216"/>
      <c r="Q47" s="94"/>
    </row>
    <row r="48" spans="2:17" ht="13.5" thickBot="1" x14ac:dyDescent="0.25">
      <c r="B48" s="93"/>
      <c r="C48" s="12">
        <v>13</v>
      </c>
      <c r="D48" s="209" t="s">
        <v>66</v>
      </c>
      <c r="E48" s="209"/>
      <c r="F48" s="209"/>
      <c r="G48" s="209"/>
      <c r="H48" s="209"/>
      <c r="I48" s="217" t="s">
        <v>65</v>
      </c>
      <c r="J48" s="217"/>
      <c r="K48" s="217"/>
      <c r="L48" s="217"/>
      <c r="M48" s="217"/>
      <c r="N48" s="217"/>
      <c r="O48" s="217"/>
      <c r="P48" s="217"/>
      <c r="Q48" s="94"/>
    </row>
    <row r="49" spans="2:17" ht="6" customHeight="1" x14ac:dyDescent="0.2">
      <c r="B49" s="93"/>
      <c r="C49" s="98"/>
      <c r="Q49" s="94"/>
    </row>
    <row r="50" spans="2:17" x14ac:dyDescent="0.2">
      <c r="B50" s="93"/>
      <c r="C50" s="206" t="s">
        <v>67</v>
      </c>
      <c r="D50" s="206"/>
      <c r="E50" s="206"/>
      <c r="F50" s="206"/>
      <c r="Q50" s="94"/>
    </row>
    <row r="51" spans="2:17" x14ac:dyDescent="0.2">
      <c r="B51" s="93"/>
      <c r="C51" s="98"/>
      <c r="Q51" s="94"/>
    </row>
    <row r="52" spans="2:17" x14ac:dyDescent="0.2">
      <c r="B52" s="93"/>
      <c r="C52" s="200" t="s">
        <v>68</v>
      </c>
      <c r="Q52" s="94"/>
    </row>
    <row r="53" spans="2:17" x14ac:dyDescent="0.2">
      <c r="B53" s="93"/>
      <c r="C53" s="100" t="s">
        <v>69</v>
      </c>
      <c r="Q53" s="94"/>
    </row>
    <row r="54" spans="2:17" x14ac:dyDescent="0.2">
      <c r="B54" s="93"/>
      <c r="C54" s="99" t="s">
        <v>443</v>
      </c>
      <c r="Q54" s="94"/>
    </row>
    <row r="55" spans="2:17" x14ac:dyDescent="0.2">
      <c r="B55" s="101"/>
      <c r="C55" s="102"/>
      <c r="D55" s="102"/>
      <c r="E55" s="102"/>
      <c r="F55" s="102"/>
      <c r="G55" s="102"/>
      <c r="H55" s="102"/>
      <c r="I55" s="102"/>
      <c r="J55" s="102"/>
      <c r="K55" s="102"/>
      <c r="L55" s="102"/>
      <c r="M55" s="102"/>
      <c r="N55" s="102"/>
      <c r="O55" s="102"/>
      <c r="P55" s="102"/>
      <c r="Q55" s="103"/>
    </row>
  </sheetData>
  <sheetProtection algorithmName="SHA-512" hashValue="c+tze41rFYrGsJt8n8VDuum+KvW4JkzbnjS9I6eEQHw3CR0muLJRXHYZMbkQujF65Wjj+DM5Vt5wdj5qqu+7Vw==" saltValue="Xl08sguD+fp77aV/eJ3rsQ==" spinCount="100000" sheet="1" selectLockedCells="1"/>
  <mergeCells count="78">
    <mergeCell ref="C3:P3"/>
    <mergeCell ref="C7:F7"/>
    <mergeCell ref="C8:F8"/>
    <mergeCell ref="C9:F9"/>
    <mergeCell ref="C10:F10"/>
    <mergeCell ref="I15:P15"/>
    <mergeCell ref="I16:P16"/>
    <mergeCell ref="I17:P17"/>
    <mergeCell ref="I18:P18"/>
    <mergeCell ref="C11:F11"/>
    <mergeCell ref="C12:F12"/>
    <mergeCell ref="C13:F13"/>
    <mergeCell ref="I47:P47"/>
    <mergeCell ref="I48:P48"/>
    <mergeCell ref="I28:P28"/>
    <mergeCell ref="I29:P29"/>
    <mergeCell ref="I30:P30"/>
    <mergeCell ref="I31:P31"/>
    <mergeCell ref="I38:P38"/>
    <mergeCell ref="I39:P39"/>
    <mergeCell ref="I40:P40"/>
    <mergeCell ref="I41:P41"/>
    <mergeCell ref="I42:P42"/>
    <mergeCell ref="I43:P43"/>
    <mergeCell ref="I44:P44"/>
    <mergeCell ref="I45:P45"/>
    <mergeCell ref="I46:P46"/>
    <mergeCell ref="I32:P32"/>
    <mergeCell ref="I19:P19"/>
    <mergeCell ref="I20:P20"/>
    <mergeCell ref="I25:P25"/>
    <mergeCell ref="I26:P26"/>
    <mergeCell ref="I21:P21"/>
    <mergeCell ref="I22:P22"/>
    <mergeCell ref="I23:P23"/>
    <mergeCell ref="I24:P24"/>
    <mergeCell ref="D31:H31"/>
    <mergeCell ref="D38:H38"/>
    <mergeCell ref="D39:H39"/>
    <mergeCell ref="C14:F14"/>
    <mergeCell ref="C15:H15"/>
    <mergeCell ref="D16:H16"/>
    <mergeCell ref="D17:H17"/>
    <mergeCell ref="D18:H18"/>
    <mergeCell ref="D19:H19"/>
    <mergeCell ref="D20:H20"/>
    <mergeCell ref="D21:H21"/>
    <mergeCell ref="D22:H22"/>
    <mergeCell ref="D23:H23"/>
    <mergeCell ref="D27:H27"/>
    <mergeCell ref="D32:H32"/>
    <mergeCell ref="C50:F50"/>
    <mergeCell ref="D24:H24"/>
    <mergeCell ref="D42:H42"/>
    <mergeCell ref="D43:H43"/>
    <mergeCell ref="D44:H44"/>
    <mergeCell ref="D45:H45"/>
    <mergeCell ref="D40:H40"/>
    <mergeCell ref="D41:H41"/>
    <mergeCell ref="D26:H26"/>
    <mergeCell ref="D28:H28"/>
    <mergeCell ref="D25:H25"/>
    <mergeCell ref="D46:H46"/>
    <mergeCell ref="D47:H47"/>
    <mergeCell ref="D48:H48"/>
    <mergeCell ref="D29:H29"/>
    <mergeCell ref="D30:H30"/>
    <mergeCell ref="I37:P37"/>
    <mergeCell ref="D33:H33"/>
    <mergeCell ref="D34:H34"/>
    <mergeCell ref="D35:H35"/>
    <mergeCell ref="D36:H36"/>
    <mergeCell ref="D37:H37"/>
    <mergeCell ref="I27:P27"/>
    <mergeCell ref="I33:P33"/>
    <mergeCell ref="I34:P34"/>
    <mergeCell ref="I35:P35"/>
    <mergeCell ref="I36:P36"/>
  </mergeCells>
  <hyperlinks>
    <hyperlink ref="C7:F7" location="Instructions!A1" display="Instructions" xr:uid="{00000000-0004-0000-0000-000000000000}"/>
    <hyperlink ref="C9:F9" location="'Application Details'!A1" display="Application Details" xr:uid="{00000000-0004-0000-0000-000001000000}"/>
    <hyperlink ref="C11:F11" location="'Development Details'!A1" display="Development Details" xr:uid="{00000000-0004-0000-0000-000002000000}"/>
    <hyperlink ref="C13:F13" location="Contents!A13" display="Calculation Sheets:" xr:uid="{00000000-0004-0000-0000-000003000000}"/>
    <hyperlink ref="I22:P22" location="K!A1" display="K" xr:uid="{00000000-0004-0000-0000-000006000000}"/>
    <hyperlink ref="I24:P24" location="A!A1" display="A" xr:uid="{00000000-0004-0000-0000-000007000000}"/>
    <hyperlink ref="C50:F50" location="'Requirements Summary'!A1" display="Requirements Summary" xr:uid="{00000000-0004-0000-0000-000011000000}"/>
    <hyperlink ref="I27" location="'C'!A1" display="C" xr:uid="{CDDA0DD1-7F3E-49EE-A139-9850566053B3}"/>
  </hyperlink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B2:P79"/>
  <sheetViews>
    <sheetView workbookViewId="0">
      <selection activeCell="I10" sqref="I10:O10"/>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230</v>
      </c>
      <c r="D3" s="96"/>
      <c r="E3" s="96"/>
      <c r="F3" s="96"/>
      <c r="G3" s="96"/>
      <c r="H3" s="96"/>
      <c r="I3" s="96"/>
      <c r="J3" s="96"/>
      <c r="K3" s="96"/>
      <c r="L3" s="96"/>
      <c r="M3" s="96"/>
      <c r="N3" s="96"/>
      <c r="O3" s="96"/>
      <c r="P3" s="97"/>
    </row>
    <row r="4" spans="2:16" ht="13.5" thickTop="1" x14ac:dyDescent="0.2">
      <c r="B4" s="93"/>
      <c r="P4" s="94"/>
    </row>
    <row r="5" spans="2:16" ht="16.5" x14ac:dyDescent="0.25">
      <c r="B5" s="93"/>
      <c r="C5" s="3" t="s">
        <v>231</v>
      </c>
      <c r="D5" s="3"/>
      <c r="E5" s="3"/>
      <c r="F5" s="3"/>
      <c r="G5" s="3"/>
      <c r="H5" s="3"/>
      <c r="I5" s="3"/>
      <c r="J5" s="3"/>
      <c r="K5" s="3"/>
      <c r="L5" s="3"/>
      <c r="P5" s="94"/>
    </row>
    <row r="6" spans="2:16" ht="13.5" thickBot="1" x14ac:dyDescent="0.25">
      <c r="B6" s="93"/>
      <c r="P6" s="94"/>
    </row>
    <row r="7" spans="2:16" ht="13.5" customHeight="1" thickBot="1" x14ac:dyDescent="0.25">
      <c r="B7" s="93"/>
      <c r="C7" s="234" t="s">
        <v>232</v>
      </c>
      <c r="D7" s="234"/>
      <c r="E7" s="234"/>
      <c r="F7" s="234"/>
      <c r="G7" s="236" t="s">
        <v>233</v>
      </c>
      <c r="H7" s="236"/>
      <c r="P7" s="94"/>
    </row>
    <row r="8" spans="2:16" ht="13.5" thickBot="1" x14ac:dyDescent="0.25">
      <c r="B8" s="93"/>
      <c r="C8" s="234"/>
      <c r="D8" s="234"/>
      <c r="E8" s="234"/>
      <c r="F8" s="234"/>
      <c r="G8" s="237"/>
      <c r="H8" s="237"/>
      <c r="P8" s="94"/>
    </row>
    <row r="9" spans="2:16" x14ac:dyDescent="0.2">
      <c r="B9" s="93"/>
      <c r="C9" s="85" t="s">
        <v>234</v>
      </c>
      <c r="D9" s="85"/>
      <c r="E9" s="85"/>
      <c r="F9" s="85"/>
      <c r="G9" s="233">
        <f>'Development Details'!F11</f>
        <v>0</v>
      </c>
      <c r="H9" s="233"/>
      <c r="I9" s="149" t="s">
        <v>235</v>
      </c>
      <c r="P9" s="94"/>
    </row>
    <row r="10" spans="2:16" ht="13.5" thickBot="1" x14ac:dyDescent="0.25">
      <c r="B10" s="93"/>
      <c r="C10" s="58" t="s">
        <v>236</v>
      </c>
      <c r="D10" s="58"/>
      <c r="E10" s="58"/>
      <c r="F10" s="58"/>
      <c r="G10" s="298">
        <f>'Population Yield'!L17</f>
        <v>0</v>
      </c>
      <c r="H10" s="298"/>
      <c r="I10" s="299" t="s">
        <v>237</v>
      </c>
      <c r="J10" s="299"/>
      <c r="K10" s="299"/>
      <c r="L10" s="299"/>
      <c r="M10" s="299"/>
      <c r="N10" s="299"/>
      <c r="O10" s="299"/>
      <c r="P10" s="94"/>
    </row>
    <row r="11" spans="2:16" ht="12.75" customHeight="1" thickBot="1" x14ac:dyDescent="0.25">
      <c r="B11" s="93"/>
      <c r="C11" s="70" t="s">
        <v>120</v>
      </c>
      <c r="D11" s="59"/>
      <c r="E11" s="59"/>
      <c r="F11" s="59"/>
      <c r="G11" s="241">
        <f>SUM(G9:G10)</f>
        <v>0</v>
      </c>
      <c r="H11" s="241"/>
      <c r="P11" s="94"/>
    </row>
    <row r="12" spans="2:16" x14ac:dyDescent="0.2">
      <c r="B12" s="93"/>
      <c r="P12" s="94"/>
    </row>
    <row r="13" spans="2:16" ht="12.75" customHeight="1" x14ac:dyDescent="0.2">
      <c r="B13" s="93"/>
      <c r="C13" t="s">
        <v>238</v>
      </c>
      <c r="F13" s="150">
        <f>'Population Yield'!L23</f>
        <v>0</v>
      </c>
      <c r="G13" s="215" t="s">
        <v>239</v>
      </c>
      <c r="H13" s="215"/>
      <c r="I13" s="215"/>
      <c r="J13" s="215"/>
      <c r="K13" s="215"/>
      <c r="L13" s="300" t="s">
        <v>237</v>
      </c>
      <c r="M13" s="300"/>
      <c r="P13" s="94"/>
    </row>
    <row r="14" spans="2:16" x14ac:dyDescent="0.2">
      <c r="B14" s="93"/>
      <c r="L14" s="300"/>
      <c r="M14" s="300"/>
      <c r="P14" s="94"/>
    </row>
    <row r="15" spans="2:16" x14ac:dyDescent="0.2">
      <c r="B15" s="93"/>
      <c r="C15" t="s">
        <v>240</v>
      </c>
      <c r="F15" s="150">
        <f>'Population Yield'!L24</f>
        <v>0</v>
      </c>
      <c r="G15" s="215" t="s">
        <v>241</v>
      </c>
      <c r="H15" s="215"/>
      <c r="I15" s="215"/>
      <c r="J15" s="215"/>
      <c r="K15" s="215"/>
      <c r="L15" s="300"/>
      <c r="M15" s="300"/>
      <c r="P15" s="94"/>
    </row>
    <row r="16" spans="2:16" x14ac:dyDescent="0.2">
      <c r="B16" s="93"/>
      <c r="P16" s="94"/>
    </row>
    <row r="17" spans="2:16" x14ac:dyDescent="0.2">
      <c r="B17" s="93"/>
      <c r="C17" s="296" t="s">
        <v>242</v>
      </c>
      <c r="D17" s="296"/>
      <c r="E17" s="296"/>
      <c r="F17" s="296"/>
      <c r="G17" s="296"/>
      <c r="H17" s="296"/>
      <c r="I17" s="296"/>
      <c r="J17" s="296"/>
      <c r="K17" s="296"/>
      <c r="L17" s="296"/>
      <c r="P17" s="94"/>
    </row>
    <row r="18" spans="2:16" x14ac:dyDescent="0.2">
      <c r="B18" s="93"/>
      <c r="C18" s="296"/>
      <c r="D18" s="296"/>
      <c r="E18" s="296"/>
      <c r="F18" s="296"/>
      <c r="G18" s="296"/>
      <c r="H18" s="296"/>
      <c r="I18" s="296"/>
      <c r="J18" s="296"/>
      <c r="K18" s="296"/>
      <c r="L18" s="296"/>
      <c r="P18" s="94"/>
    </row>
    <row r="19" spans="2:16" x14ac:dyDescent="0.2">
      <c r="B19" s="93"/>
      <c r="P19" s="94"/>
    </row>
    <row r="20" spans="2:16" ht="16.5" x14ac:dyDescent="0.25">
      <c r="B20" s="90"/>
      <c r="C20" s="127" t="s">
        <v>40</v>
      </c>
      <c r="D20" s="91"/>
      <c r="E20" s="91"/>
      <c r="F20" s="91"/>
      <c r="G20" s="91"/>
      <c r="H20" s="91"/>
      <c r="I20" s="91"/>
      <c r="J20" s="91"/>
      <c r="K20" s="91"/>
      <c r="L20" s="91"/>
      <c r="M20" s="91"/>
      <c r="N20" s="91"/>
      <c r="O20" s="91"/>
      <c r="P20" s="92"/>
    </row>
    <row r="21" spans="2:16" ht="16.5" x14ac:dyDescent="0.25">
      <c r="B21" s="93"/>
      <c r="C21" s="3"/>
      <c r="P21" s="94"/>
    </row>
    <row r="22" spans="2:16" x14ac:dyDescent="0.2">
      <c r="B22" s="93"/>
      <c r="C22" s="119" t="s">
        <v>177</v>
      </c>
      <c r="P22" s="94"/>
    </row>
    <row r="23" spans="2:16" x14ac:dyDescent="0.2">
      <c r="B23" s="93"/>
      <c r="P23" s="94"/>
    </row>
    <row r="24" spans="2:16" x14ac:dyDescent="0.2">
      <c r="B24" s="93"/>
      <c r="C24" s="139" t="str">
        <f>IF(F13&gt;=210,"Yes","No")</f>
        <v>No</v>
      </c>
      <c r="D24" s="1" t="s">
        <v>178</v>
      </c>
      <c r="E24" s="276" t="str">
        <f>IF(C24="Yes","The development is expected to result in 210 or more primary school age children", "The development is expected to result in less than 210 primary school age children")</f>
        <v>The development is expected to result in less than 210 primary school age children</v>
      </c>
      <c r="F24" s="276"/>
      <c r="G24" s="276"/>
      <c r="H24" s="276"/>
      <c r="I24" s="276"/>
      <c r="J24" s="276"/>
      <c r="K24" s="276"/>
      <c r="L24" s="276"/>
      <c r="P24" s="94"/>
    </row>
    <row r="25" spans="2:16" x14ac:dyDescent="0.2">
      <c r="B25" s="93"/>
      <c r="P25" s="94"/>
    </row>
    <row r="26" spans="2:16" x14ac:dyDescent="0.2">
      <c r="B26" s="93"/>
      <c r="C26" s="119" t="s">
        <v>243</v>
      </c>
      <c r="P26" s="94"/>
    </row>
    <row r="27" spans="2:16" x14ac:dyDescent="0.2">
      <c r="B27" s="93"/>
      <c r="P27" s="94"/>
    </row>
    <row r="28" spans="2:16" x14ac:dyDescent="0.2">
      <c r="B28" s="93"/>
      <c r="C28" s="284" t="s">
        <v>244</v>
      </c>
      <c r="D28" s="284"/>
      <c r="E28" s="284"/>
      <c r="F28" s="284"/>
      <c r="G28" s="284"/>
      <c r="H28" s="284"/>
      <c r="I28" s="141" t="s">
        <v>184</v>
      </c>
      <c r="J28" s="284" t="s">
        <v>245</v>
      </c>
      <c r="K28" s="284"/>
      <c r="L28" s="284"/>
      <c r="M28" s="284"/>
      <c r="P28" s="94"/>
    </row>
    <row r="29" spans="2:16" x14ac:dyDescent="0.2">
      <c r="B29" s="93"/>
      <c r="C29" s="285"/>
      <c r="D29" s="285"/>
      <c r="E29" s="285"/>
      <c r="F29" s="285"/>
      <c r="G29" s="285"/>
      <c r="H29" s="285"/>
      <c r="I29" s="142" t="s">
        <v>184</v>
      </c>
      <c r="J29" s="285" t="str">
        <f>IF(C24="Yes",TEXT(F13,"#,##0")&amp;" / 210","")</f>
        <v/>
      </c>
      <c r="K29" s="285"/>
      <c r="L29" s="285"/>
      <c r="M29" s="285"/>
      <c r="P29" s="94"/>
    </row>
    <row r="30" spans="2:16" x14ac:dyDescent="0.2">
      <c r="B30" s="93"/>
      <c r="C30" s="276"/>
      <c r="D30" s="276"/>
      <c r="E30" s="276"/>
      <c r="F30" s="276"/>
      <c r="G30" s="276"/>
      <c r="H30" s="276"/>
      <c r="I30" s="144" t="s">
        <v>184</v>
      </c>
      <c r="J30" s="286" t="str">
        <f>IF(C24="Yes",F13/210,"")</f>
        <v/>
      </c>
      <c r="K30" s="286"/>
      <c r="L30" s="286"/>
      <c r="M30" s="286"/>
      <c r="P30" s="94"/>
    </row>
    <row r="31" spans="2:16" x14ac:dyDescent="0.2">
      <c r="B31" s="93"/>
      <c r="P31" s="94"/>
    </row>
    <row r="32" spans="2:16" ht="16.5" x14ac:dyDescent="0.25">
      <c r="B32" s="90"/>
      <c r="C32" s="127" t="s">
        <v>41</v>
      </c>
      <c r="D32" s="91"/>
      <c r="E32" s="91"/>
      <c r="F32" s="91"/>
      <c r="G32" s="91"/>
      <c r="H32" s="91"/>
      <c r="I32" s="91"/>
      <c r="J32" s="91"/>
      <c r="K32" s="91"/>
      <c r="L32" s="91"/>
      <c r="M32" s="91"/>
      <c r="N32" s="91"/>
      <c r="O32" s="91"/>
      <c r="P32" s="92"/>
    </row>
    <row r="33" spans="2:16" x14ac:dyDescent="0.2">
      <c r="B33" s="93"/>
      <c r="P33" s="94"/>
    </row>
    <row r="34" spans="2:16" x14ac:dyDescent="0.2">
      <c r="B34" s="93"/>
      <c r="C34" s="119" t="s">
        <v>177</v>
      </c>
      <c r="P34" s="94"/>
    </row>
    <row r="35" spans="2:16" x14ac:dyDescent="0.2">
      <c r="B35" s="93"/>
      <c r="P35" s="94"/>
    </row>
    <row r="36" spans="2:16" x14ac:dyDescent="0.2">
      <c r="B36" s="93"/>
      <c r="C36" s="139" t="str">
        <f>IF(F15&gt;=150,"Yes","No")</f>
        <v>No</v>
      </c>
      <c r="D36" s="1" t="s">
        <v>178</v>
      </c>
      <c r="E36" s="276" t="str">
        <f>IF(C36="Yes","The development is expected to result in 150 or more secondary school age children", "The development is expected to result in less than 150 secondary school age children")</f>
        <v>The development is expected to result in less than 150 secondary school age children</v>
      </c>
      <c r="F36" s="276"/>
      <c r="G36" s="276"/>
      <c r="H36" s="276"/>
      <c r="I36" s="276"/>
      <c r="J36" s="276"/>
      <c r="K36" s="276"/>
      <c r="L36" s="276"/>
      <c r="P36" s="94"/>
    </row>
    <row r="37" spans="2:16" x14ac:dyDescent="0.2">
      <c r="B37" s="93"/>
      <c r="P37" s="94"/>
    </row>
    <row r="38" spans="2:16" x14ac:dyDescent="0.2">
      <c r="B38" s="93"/>
      <c r="C38" s="119" t="s">
        <v>243</v>
      </c>
      <c r="P38" s="94"/>
    </row>
    <row r="39" spans="2:16" x14ac:dyDescent="0.2">
      <c r="B39" s="93"/>
      <c r="P39" s="94"/>
    </row>
    <row r="40" spans="2:16" x14ac:dyDescent="0.2">
      <c r="B40" s="93"/>
      <c r="C40" s="284" t="s">
        <v>246</v>
      </c>
      <c r="D40" s="284"/>
      <c r="E40" s="284"/>
      <c r="F40" s="284"/>
      <c r="G40" s="284"/>
      <c r="H40" s="284"/>
      <c r="I40" s="141" t="s">
        <v>184</v>
      </c>
      <c r="J40" s="147" t="s">
        <v>247</v>
      </c>
      <c r="K40" s="147"/>
      <c r="L40" s="147"/>
      <c r="M40" s="147"/>
      <c r="P40" s="94"/>
    </row>
    <row r="41" spans="2:16" x14ac:dyDescent="0.2">
      <c r="B41" s="93"/>
      <c r="C41" s="285"/>
      <c r="D41" s="285"/>
      <c r="E41" s="285"/>
      <c r="F41" s="285"/>
      <c r="G41" s="285"/>
      <c r="H41" s="285"/>
      <c r="I41" s="142" t="s">
        <v>184</v>
      </c>
      <c r="J41" s="285" t="str">
        <f>IF(C36="Yes",TEXT(F15,"#,##0")&amp;" / 150","")</f>
        <v/>
      </c>
      <c r="K41" s="285"/>
      <c r="L41" s="285"/>
      <c r="M41" s="285"/>
      <c r="P41" s="94"/>
    </row>
    <row r="42" spans="2:16" x14ac:dyDescent="0.2">
      <c r="B42" s="93"/>
      <c r="C42" s="276"/>
      <c r="D42" s="276"/>
      <c r="E42" s="276"/>
      <c r="F42" s="276"/>
      <c r="G42" s="276"/>
      <c r="H42" s="276"/>
      <c r="I42" s="144" t="s">
        <v>184</v>
      </c>
      <c r="J42" s="286" t="str">
        <f>IF(C36="Yes",F15/150,"")</f>
        <v/>
      </c>
      <c r="K42" s="286"/>
      <c r="L42" s="286"/>
      <c r="M42" s="286"/>
      <c r="P42" s="94"/>
    </row>
    <row r="43" spans="2:16" x14ac:dyDescent="0.2">
      <c r="B43" s="93"/>
      <c r="P43" s="94"/>
    </row>
    <row r="44" spans="2:16" ht="16.5" x14ac:dyDescent="0.25">
      <c r="B44" s="90"/>
      <c r="C44" s="127" t="s">
        <v>42</v>
      </c>
      <c r="D44" s="91"/>
      <c r="E44" s="91"/>
      <c r="F44" s="91"/>
      <c r="G44" s="91"/>
      <c r="H44" s="91"/>
      <c r="I44" s="91"/>
      <c r="J44" s="91"/>
      <c r="K44" s="91"/>
      <c r="L44" s="91"/>
      <c r="M44" s="91"/>
      <c r="N44" s="91"/>
      <c r="O44" s="91"/>
      <c r="P44" s="92"/>
    </row>
    <row r="45" spans="2:16" x14ac:dyDescent="0.2">
      <c r="B45" s="93"/>
      <c r="P45" s="94"/>
    </row>
    <row r="46" spans="2:16" x14ac:dyDescent="0.2">
      <c r="B46" s="93"/>
      <c r="C46" t="s">
        <v>248</v>
      </c>
      <c r="G46" s="149" t="s">
        <v>249</v>
      </c>
      <c r="P46" s="94"/>
    </row>
    <row r="47" spans="2:16" x14ac:dyDescent="0.2">
      <c r="B47" s="93"/>
      <c r="C47" s="194"/>
      <c r="P47" s="94"/>
    </row>
    <row r="48" spans="2:16" ht="16.5" x14ac:dyDescent="0.25">
      <c r="B48" s="90"/>
      <c r="C48" s="127" t="s">
        <v>43</v>
      </c>
      <c r="D48" s="91"/>
      <c r="E48" s="91"/>
      <c r="F48" s="91"/>
      <c r="G48" s="91"/>
      <c r="H48" s="91"/>
      <c r="I48" s="91"/>
      <c r="J48" s="91"/>
      <c r="K48" s="91"/>
      <c r="L48" s="91"/>
      <c r="M48" s="91"/>
      <c r="N48" s="91"/>
      <c r="O48" s="91"/>
      <c r="P48" s="92"/>
    </row>
    <row r="49" spans="2:16" x14ac:dyDescent="0.2">
      <c r="B49" s="93"/>
      <c r="P49" s="94"/>
    </row>
    <row r="50" spans="2:16" x14ac:dyDescent="0.2">
      <c r="B50" s="93"/>
      <c r="C50" s="119" t="s">
        <v>177</v>
      </c>
      <c r="P50" s="94"/>
    </row>
    <row r="51" spans="2:16" x14ac:dyDescent="0.2">
      <c r="B51" s="93"/>
      <c r="P51" s="94"/>
    </row>
    <row r="52" spans="2:16" x14ac:dyDescent="0.2">
      <c r="B52" s="93"/>
      <c r="C52" s="139" t="str">
        <f>IF(G11&gt;=1000,"Yes","No")</f>
        <v>No</v>
      </c>
      <c r="D52" s="1" t="s">
        <v>178</v>
      </c>
      <c r="E52" s="139" t="str">
        <f>IF(C52="Yes","The development is expected to result in 1,000 or more residents","The development is expected to result in less than 1,000 residents")</f>
        <v>The development is expected to result in less than 1,000 residents</v>
      </c>
      <c r="F52" s="139"/>
      <c r="G52" s="139"/>
      <c r="H52" s="139"/>
      <c r="I52" s="139"/>
      <c r="J52" s="139"/>
      <c r="P52" s="94"/>
    </row>
    <row r="53" spans="2:16" x14ac:dyDescent="0.2">
      <c r="B53" s="93"/>
      <c r="P53" s="94"/>
    </row>
    <row r="54" spans="2:16" x14ac:dyDescent="0.2">
      <c r="B54" s="93"/>
      <c r="C54" s="126" t="s">
        <v>250</v>
      </c>
      <c r="D54" s="125"/>
      <c r="F54" s="69"/>
      <c r="P54" s="94"/>
    </row>
    <row r="55" spans="2:16" x14ac:dyDescent="0.2">
      <c r="B55" s="93"/>
      <c r="P55" s="94"/>
    </row>
    <row r="56" spans="2:16" x14ac:dyDescent="0.2">
      <c r="B56" s="93"/>
      <c r="C56" s="297" t="str">
        <f>IF(C52="Yes", "Required", "Not required")</f>
        <v>Not required</v>
      </c>
      <c r="D56" s="297"/>
      <c r="P56" s="94"/>
    </row>
    <row r="57" spans="2:16" x14ac:dyDescent="0.2">
      <c r="B57" s="93"/>
      <c r="P57" s="94"/>
    </row>
    <row r="58" spans="2:16" ht="16.5" x14ac:dyDescent="0.25">
      <c r="B58" s="90"/>
      <c r="C58" s="127" t="s">
        <v>44</v>
      </c>
      <c r="D58" s="91"/>
      <c r="E58" s="91"/>
      <c r="F58" s="91"/>
      <c r="G58" s="91"/>
      <c r="H58" s="91"/>
      <c r="I58" s="91"/>
      <c r="J58" s="91"/>
      <c r="K58" s="91"/>
      <c r="L58" s="91"/>
      <c r="M58" s="91"/>
      <c r="N58" s="91"/>
      <c r="O58" s="91"/>
      <c r="P58" s="92"/>
    </row>
    <row r="59" spans="2:16" x14ac:dyDescent="0.2">
      <c r="B59" s="93"/>
      <c r="P59" s="94"/>
    </row>
    <row r="60" spans="2:16" x14ac:dyDescent="0.2">
      <c r="B60" s="93"/>
      <c r="C60" s="119" t="s">
        <v>177</v>
      </c>
      <c r="P60" s="94"/>
    </row>
    <row r="61" spans="2:16" x14ac:dyDescent="0.2">
      <c r="B61" s="93"/>
      <c r="P61" s="94"/>
    </row>
    <row r="62" spans="2:16" x14ac:dyDescent="0.2">
      <c r="B62" s="93"/>
      <c r="C62" s="139" t="str">
        <f>IF(OR('Development Details'!M36&gt;=150,'Development Details'!E20&gt;=30),"Yes","No")</f>
        <v>No</v>
      </c>
      <c r="D62" s="1" t="s">
        <v>178</v>
      </c>
      <c r="E62" s="139" t="str">
        <f>IF(C62="Yes","The development has 150 or more dwellings or is 30m or more in height","The development has less than 150 dwellings and is less than 30m in height")</f>
        <v>The development has less than 150 dwellings and is less than 30m in height</v>
      </c>
      <c r="F62" s="139"/>
      <c r="G62" s="139"/>
      <c r="H62" s="139"/>
      <c r="I62" s="139"/>
      <c r="J62" s="139"/>
      <c r="K62" s="139"/>
      <c r="P62" s="94"/>
    </row>
    <row r="63" spans="2:16" x14ac:dyDescent="0.2">
      <c r="B63" s="93"/>
      <c r="P63" s="94"/>
    </row>
    <row r="64" spans="2:16" x14ac:dyDescent="0.2">
      <c r="B64" s="93"/>
      <c r="C64" s="126" t="s">
        <v>251</v>
      </c>
      <c r="D64" s="125"/>
      <c r="F64" s="69"/>
      <c r="P64" s="94"/>
    </row>
    <row r="65" spans="2:16" x14ac:dyDescent="0.2">
      <c r="B65" s="93"/>
      <c r="P65" s="94"/>
    </row>
    <row r="66" spans="2:16" x14ac:dyDescent="0.2">
      <c r="B66" s="93"/>
      <c r="C66" s="297" t="str">
        <f>IF(C62="Yes", "Required", "Not required")</f>
        <v>Not required</v>
      </c>
      <c r="D66" s="297"/>
      <c r="P66" s="94"/>
    </row>
    <row r="67" spans="2:16" x14ac:dyDescent="0.2">
      <c r="B67" s="93"/>
      <c r="P67" s="94"/>
    </row>
    <row r="68" spans="2:16" ht="16.5" x14ac:dyDescent="0.25">
      <c r="B68" s="90"/>
      <c r="C68" s="127" t="s">
        <v>45</v>
      </c>
      <c r="D68" s="91"/>
      <c r="E68" s="91"/>
      <c r="F68" s="91"/>
      <c r="G68" s="91"/>
      <c r="H68" s="91"/>
      <c r="I68" s="91"/>
      <c r="J68" s="91"/>
      <c r="K68" s="91"/>
      <c r="L68" s="91"/>
      <c r="M68" s="91"/>
      <c r="N68" s="91"/>
      <c r="O68" s="91"/>
      <c r="P68" s="92"/>
    </row>
    <row r="69" spans="2:16" x14ac:dyDescent="0.2">
      <c r="B69" s="93"/>
      <c r="P69" s="94"/>
    </row>
    <row r="70" spans="2:16" x14ac:dyDescent="0.2">
      <c r="B70" s="93"/>
      <c r="C70" s="119" t="s">
        <v>177</v>
      </c>
      <c r="P70" s="94"/>
    </row>
    <row r="71" spans="2:16" x14ac:dyDescent="0.2">
      <c r="B71" s="93"/>
      <c r="P71" s="94"/>
    </row>
    <row r="72" spans="2:16" x14ac:dyDescent="0.2">
      <c r="B72" s="93"/>
      <c r="C72" s="139" t="str">
        <f>IF(OR('Development Details'!H14="Yes",'Development Details'!E63&gt;0),"Yes","No")</f>
        <v>No</v>
      </c>
      <c r="D72" t="s">
        <v>178</v>
      </c>
      <c r="E72" s="139" t="str">
        <f>IF(C72="Yes","Extra care or supported housing or C2 use is proposed","No extra care or supported housing or C2 use is proposed")</f>
        <v>No extra care or supported housing or C2 use is proposed</v>
      </c>
      <c r="F72" s="139"/>
      <c r="G72" s="139"/>
      <c r="H72" s="139"/>
      <c r="I72" s="139"/>
      <c r="J72" s="139"/>
      <c r="P72" s="94"/>
    </row>
    <row r="73" spans="2:16" x14ac:dyDescent="0.2">
      <c r="B73" s="93"/>
      <c r="P73" s="94"/>
    </row>
    <row r="74" spans="2:16" x14ac:dyDescent="0.2">
      <c r="B74" s="93"/>
      <c r="C74" s="119" t="s">
        <v>252</v>
      </c>
      <c r="P74" s="94"/>
    </row>
    <row r="75" spans="2:16" x14ac:dyDescent="0.2">
      <c r="B75" s="93"/>
      <c r="P75" s="94"/>
    </row>
    <row r="76" spans="2:16" x14ac:dyDescent="0.2">
      <c r="B76" s="93"/>
      <c r="C76" s="297" t="str">
        <f>IF(C72="Yes", "Required", "Not required")</f>
        <v>Not required</v>
      </c>
      <c r="D76" s="297"/>
      <c r="P76" s="94"/>
    </row>
    <row r="77" spans="2:16" x14ac:dyDescent="0.2">
      <c r="B77" s="101"/>
      <c r="C77" s="102"/>
      <c r="D77" s="102"/>
      <c r="E77" s="102"/>
      <c r="F77" s="102"/>
      <c r="G77" s="102"/>
      <c r="H77" s="102"/>
      <c r="I77" s="102"/>
      <c r="J77" s="102"/>
      <c r="K77" s="102"/>
      <c r="L77" s="102"/>
      <c r="M77" s="102"/>
      <c r="N77" s="102"/>
      <c r="O77" s="102"/>
      <c r="P77" s="103"/>
    </row>
    <row r="79" spans="2:16" x14ac:dyDescent="0.2">
      <c r="C79" s="63" t="s">
        <v>179</v>
      </c>
    </row>
  </sheetData>
  <sheetProtection algorithmName="SHA-512" hashValue="ArXh5FeB3nlkvFzpVzV9LPNYFRFoaAaaTX2b+Ahl8xCWkQLNTmdLN7XJrMW27KPxKd00FDvGXcck9aZGr0KxDQ==" saltValue="iNHYOq+quvfB76J+YVxhkw==" spinCount="100000" sheet="1" selectLockedCells="1"/>
  <mergeCells count="26">
    <mergeCell ref="G7:H8"/>
    <mergeCell ref="C7:F8"/>
    <mergeCell ref="G9:H9"/>
    <mergeCell ref="G10:H10"/>
    <mergeCell ref="E36:L36"/>
    <mergeCell ref="I10:O10"/>
    <mergeCell ref="G13:K13"/>
    <mergeCell ref="L13:M15"/>
    <mergeCell ref="E24:L24"/>
    <mergeCell ref="C28:H28"/>
    <mergeCell ref="C29:H29"/>
    <mergeCell ref="C30:H30"/>
    <mergeCell ref="J28:M28"/>
    <mergeCell ref="J29:M29"/>
    <mergeCell ref="J30:M30"/>
    <mergeCell ref="G15:K15"/>
    <mergeCell ref="C17:L18"/>
    <mergeCell ref="C56:D56"/>
    <mergeCell ref="C66:D66"/>
    <mergeCell ref="C76:D76"/>
    <mergeCell ref="G11:H11"/>
    <mergeCell ref="C40:H40"/>
    <mergeCell ref="C41:H41"/>
    <mergeCell ref="C42:H42"/>
    <mergeCell ref="J41:M41"/>
    <mergeCell ref="J42:M42"/>
  </mergeCells>
  <conditionalFormatting sqref="C24">
    <cfRule type="expression" dxfId="27" priority="18">
      <formula>$C$24="Yes"</formula>
    </cfRule>
  </conditionalFormatting>
  <conditionalFormatting sqref="C30 I30:M30">
    <cfRule type="expression" priority="16" stopIfTrue="1">
      <formula>$C$24="No"</formula>
    </cfRule>
    <cfRule type="expression" dxfId="26" priority="17">
      <formula>$J$30&gt;0</formula>
    </cfRule>
  </conditionalFormatting>
  <conditionalFormatting sqref="C36">
    <cfRule type="expression" dxfId="25" priority="15">
      <formula>$C$36="Yes"</formula>
    </cfRule>
  </conditionalFormatting>
  <conditionalFormatting sqref="C42 I42:J42">
    <cfRule type="expression" priority="13" stopIfTrue="1">
      <formula>$C$36="No"</formula>
    </cfRule>
    <cfRule type="expression" dxfId="24" priority="14">
      <formula>$J$42&gt;0</formula>
    </cfRule>
  </conditionalFormatting>
  <conditionalFormatting sqref="C52">
    <cfRule type="expression" dxfId="23" priority="9">
      <formula>$C$52="Yes"</formula>
    </cfRule>
  </conditionalFormatting>
  <conditionalFormatting sqref="C56">
    <cfRule type="expression" priority="7" stopIfTrue="1">
      <formula>$C$52="No"</formula>
    </cfRule>
    <cfRule type="expression" dxfId="22" priority="8">
      <formula>C52="Yes"</formula>
    </cfRule>
  </conditionalFormatting>
  <conditionalFormatting sqref="C62">
    <cfRule type="expression" dxfId="21" priority="6">
      <formula>$C$62="Yes"</formula>
    </cfRule>
  </conditionalFormatting>
  <conditionalFormatting sqref="C66">
    <cfRule type="expression" priority="4" stopIfTrue="1">
      <formula>$C$62="No"</formula>
    </cfRule>
    <cfRule type="expression" dxfId="20" priority="5">
      <formula>C62="Yes"</formula>
    </cfRule>
  </conditionalFormatting>
  <conditionalFormatting sqref="C72">
    <cfRule type="expression" dxfId="19" priority="1">
      <formula>$C$72="Yes"</formula>
    </cfRule>
  </conditionalFormatting>
  <conditionalFormatting sqref="C76">
    <cfRule type="expression" priority="2" stopIfTrue="1">
      <formula>$C$72="No"</formula>
    </cfRule>
    <cfRule type="expression" dxfId="18" priority="3">
      <formula>C72="Yes"</formula>
    </cfRule>
  </conditionalFormatting>
  <hyperlinks>
    <hyperlink ref="L13:M15" r:id="rId1" display="Calculated using the Council's Population Yield Calculator" xr:uid="{00000000-0004-0000-0900-000000000000}"/>
    <hyperlink ref="I10:O10" r:id="rId2" display="Calculated using the Council's Population Yield Calculator" xr:uid="{62594604-54B2-48C0-8DB5-D0A115B9D6ED}"/>
  </hyperlinks>
  <pageMargins left="0.39370078740157483" right="0.39370078740157483" top="0.39370078740157483" bottom="0.39370078740157483" header="0.19685039370078741" footer="0.19685039370078741"/>
  <pageSetup paperSize="9" orientation="landscape" r:id="rId3"/>
  <headerFooter>
    <oddHeader>&amp;L&amp;"Calibri"&amp;10&amp;K000000Official&amp;1#_x000D_&amp;"Calibri"&amp;11&amp;K000000&amp;9&amp;F</oddHeader>
    <oddFooter>&amp;R&amp;9Page &amp;P of &amp;N</oddFooter>
  </headerFooter>
  <rowBreaks count="1" manualBreakCount="1">
    <brk id="39"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autoPageBreaks="0"/>
  </sheetPr>
  <dimension ref="B2:P47"/>
  <sheetViews>
    <sheetView workbookViewId="0">
      <selection activeCell="F20" sqref="F20:G3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253</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295" t="str">
        <f>IF(ISBLANK('Development Details'!H18),Inputs_still_required,IF(OR('Development Details'!M36&gt;=100,'Development Details'!E71&gt;=10000,'Development Details'!H18="Yes"),"Yes", "No"))</f>
        <v>Inputs still required</v>
      </c>
      <c r="D7" s="302" t="s">
        <v>178</v>
      </c>
      <c r="E7" s="293" t="str">
        <f>IF(C7=Inputs_still_required,"",IF(C7="Yes", "100 or more dwellings, or 10,000m² or more of floorspace is proposed, or there is a reduction in protected open space", "Less than 100 dwellings and less than 10,000m² of floorspace are proposed, and there is no reduction of protected open space"))</f>
        <v/>
      </c>
      <c r="F7" s="293"/>
      <c r="G7" s="293"/>
      <c r="H7" s="293"/>
      <c r="I7" s="293"/>
      <c r="J7" s="293"/>
      <c r="P7" s="94"/>
    </row>
    <row r="8" spans="2:16" x14ac:dyDescent="0.2">
      <c r="B8" s="93"/>
      <c r="C8" s="295"/>
      <c r="D8" s="302"/>
      <c r="E8" s="293"/>
      <c r="F8" s="293"/>
      <c r="G8" s="293"/>
      <c r="H8" s="293"/>
      <c r="I8" s="293"/>
      <c r="J8" s="293"/>
      <c r="P8" s="94"/>
    </row>
    <row r="9" spans="2:16" x14ac:dyDescent="0.2">
      <c r="B9" s="93"/>
      <c r="P9" s="94"/>
    </row>
    <row r="10" spans="2:16" ht="16.5" x14ac:dyDescent="0.25">
      <c r="B10" s="93"/>
      <c r="C10" s="3" t="s">
        <v>81</v>
      </c>
      <c r="P10" s="94"/>
    </row>
    <row r="11" spans="2:16" x14ac:dyDescent="0.2">
      <c r="B11" s="93"/>
      <c r="P11" s="94"/>
    </row>
    <row r="12" spans="2:16" x14ac:dyDescent="0.2">
      <c r="B12" s="93"/>
      <c r="C12" s="276" t="str">
        <f>IF(C7="Yes", "New public open space, public realm improvements, or commuted sum required", "")</f>
        <v/>
      </c>
      <c r="D12" s="276"/>
      <c r="E12" s="276"/>
      <c r="F12" s="276"/>
      <c r="G12" s="276"/>
      <c r="H12" s="276"/>
      <c r="I12" s="276"/>
      <c r="J12" s="276"/>
      <c r="P12" s="94"/>
    </row>
    <row r="13" spans="2:16" x14ac:dyDescent="0.2">
      <c r="B13" s="93"/>
      <c r="P13" s="94"/>
    </row>
    <row r="14" spans="2:16" ht="16.5" x14ac:dyDescent="0.25">
      <c r="B14" s="93"/>
      <c r="C14" s="3" t="s">
        <v>254</v>
      </c>
      <c r="P14" s="94"/>
    </row>
    <row r="15" spans="2:16" x14ac:dyDescent="0.2">
      <c r="B15" s="93"/>
      <c r="P15" s="94"/>
    </row>
    <row r="16" spans="2:16" x14ac:dyDescent="0.2">
      <c r="B16" s="93"/>
      <c r="C16" t="s">
        <v>255</v>
      </c>
      <c r="P16" s="94"/>
    </row>
    <row r="17" spans="2:16" x14ac:dyDescent="0.2">
      <c r="B17" s="93"/>
      <c r="P17" s="94"/>
    </row>
    <row r="18" spans="2:16" x14ac:dyDescent="0.2">
      <c r="B18" s="93"/>
      <c r="C18" s="119" t="s">
        <v>256</v>
      </c>
      <c r="P18" s="94"/>
    </row>
    <row r="19" spans="2:16" ht="13.5" thickBot="1" x14ac:dyDescent="0.25">
      <c r="B19" s="93"/>
      <c r="P19" s="94"/>
    </row>
    <row r="20" spans="2:16" ht="12.75" customHeight="1" thickBot="1" x14ac:dyDescent="0.25">
      <c r="B20" s="93"/>
      <c r="C20" s="169" t="s">
        <v>257</v>
      </c>
      <c r="D20" s="167" t="s">
        <v>258</v>
      </c>
      <c r="F20" s="301" t="s">
        <v>259</v>
      </c>
      <c r="G20" s="301"/>
      <c r="P20" s="94"/>
    </row>
    <row r="21" spans="2:16" ht="12.75" customHeight="1" x14ac:dyDescent="0.2">
      <c r="B21" s="93"/>
      <c r="C21" s="85" t="s">
        <v>260</v>
      </c>
      <c r="D21" s="170">
        <f>'Population Yield'!L7</f>
        <v>0</v>
      </c>
      <c r="F21" s="301"/>
      <c r="G21" s="301"/>
      <c r="P21" s="94"/>
    </row>
    <row r="22" spans="2:16" x14ac:dyDescent="0.2">
      <c r="B22" s="93"/>
      <c r="C22" s="162" t="s">
        <v>261</v>
      </c>
      <c r="D22" s="171">
        <f>'Population Yield'!L8</f>
        <v>0</v>
      </c>
      <c r="F22" s="301"/>
      <c r="G22" s="301"/>
      <c r="P22" s="94"/>
    </row>
    <row r="23" spans="2:16" x14ac:dyDescent="0.2">
      <c r="B23" s="93"/>
      <c r="C23" s="162" t="s">
        <v>262</v>
      </c>
      <c r="D23" s="171">
        <f>'Population Yield'!L9</f>
        <v>0</v>
      </c>
      <c r="F23" s="301"/>
      <c r="G23" s="301"/>
      <c r="P23" s="94"/>
    </row>
    <row r="24" spans="2:16" x14ac:dyDescent="0.2">
      <c r="B24" s="93"/>
      <c r="C24" s="162" t="s">
        <v>263</v>
      </c>
      <c r="D24" s="171">
        <f>'Population Yield'!L10</f>
        <v>0</v>
      </c>
      <c r="F24" s="301"/>
      <c r="G24" s="301"/>
      <c r="P24" s="94"/>
    </row>
    <row r="25" spans="2:16" x14ac:dyDescent="0.2">
      <c r="B25" s="93"/>
      <c r="C25" s="162" t="s">
        <v>264</v>
      </c>
      <c r="D25" s="171">
        <f>'Population Yield'!L11</f>
        <v>0</v>
      </c>
      <c r="F25" s="301"/>
      <c r="G25" s="301"/>
      <c r="P25" s="94"/>
    </row>
    <row r="26" spans="2:16" x14ac:dyDescent="0.2">
      <c r="B26" s="93"/>
      <c r="C26" s="162" t="s">
        <v>265</v>
      </c>
      <c r="D26" s="171">
        <f>'Population Yield'!L12</f>
        <v>0</v>
      </c>
      <c r="F26" s="301"/>
      <c r="G26" s="301"/>
      <c r="P26" s="94"/>
    </row>
    <row r="27" spans="2:16" x14ac:dyDescent="0.2">
      <c r="B27" s="93"/>
      <c r="C27" s="162" t="s">
        <v>266</v>
      </c>
      <c r="D27" s="171">
        <f>'Population Yield'!L13</f>
        <v>0</v>
      </c>
      <c r="F27" s="301"/>
      <c r="G27" s="301"/>
      <c r="P27" s="94"/>
    </row>
    <row r="28" spans="2:16" x14ac:dyDescent="0.2">
      <c r="B28" s="93"/>
      <c r="C28" s="162" t="s">
        <v>267</v>
      </c>
      <c r="D28" s="171">
        <f>'Population Yield'!L14</f>
        <v>0</v>
      </c>
      <c r="F28" s="301"/>
      <c r="G28" s="301"/>
      <c r="P28" s="94"/>
    </row>
    <row r="29" spans="2:16" x14ac:dyDescent="0.2">
      <c r="B29" s="93"/>
      <c r="C29" s="162" t="s">
        <v>268</v>
      </c>
      <c r="D29" s="171">
        <f>'Population Yield'!L15</f>
        <v>0</v>
      </c>
      <c r="F29" s="301"/>
      <c r="G29" s="301"/>
      <c r="P29" s="94"/>
    </row>
    <row r="30" spans="2:16" ht="13.5" thickBot="1" x14ac:dyDescent="0.25">
      <c r="B30" s="93"/>
      <c r="C30" s="58" t="s">
        <v>269</v>
      </c>
      <c r="D30" s="172">
        <f>'Population Yield'!L16</f>
        <v>0</v>
      </c>
      <c r="F30" s="301"/>
      <c r="G30" s="301"/>
      <c r="P30" s="94"/>
    </row>
    <row r="31" spans="2:16" ht="13.5" thickBot="1" x14ac:dyDescent="0.25">
      <c r="B31" s="93"/>
      <c r="C31" s="164" t="s">
        <v>120</v>
      </c>
      <c r="D31" s="173">
        <f>'Population Yield'!L17</f>
        <v>0</v>
      </c>
      <c r="F31" s="301"/>
      <c r="G31" s="301"/>
      <c r="P31" s="94"/>
    </row>
    <row r="32" spans="2:16" x14ac:dyDescent="0.2">
      <c r="B32" s="93"/>
      <c r="P32" s="94"/>
    </row>
    <row r="33" spans="2:16" x14ac:dyDescent="0.2">
      <c r="B33" s="93"/>
      <c r="C33" s="119" t="s">
        <v>270</v>
      </c>
      <c r="P33" s="94"/>
    </row>
    <row r="34" spans="2:16" ht="13.5" thickBot="1" x14ac:dyDescent="0.25">
      <c r="B34" s="93"/>
      <c r="P34" s="94"/>
    </row>
    <row r="35" spans="2:16" ht="13.5" customHeight="1" thickBot="1" x14ac:dyDescent="0.25">
      <c r="B35" s="93"/>
      <c r="C35" s="168" t="s">
        <v>257</v>
      </c>
      <c r="D35" s="167" t="s">
        <v>258</v>
      </c>
      <c r="F35" s="300" t="s">
        <v>259</v>
      </c>
      <c r="G35" s="300"/>
      <c r="P35" s="94"/>
    </row>
    <row r="36" spans="2:16" x14ac:dyDescent="0.2">
      <c r="B36" s="93"/>
      <c r="C36" s="85" t="s">
        <v>271</v>
      </c>
      <c r="D36" s="165">
        <f>'Population Yield'!L22</f>
        <v>0</v>
      </c>
      <c r="F36" s="300"/>
      <c r="G36" s="300"/>
      <c r="P36" s="94"/>
    </row>
    <row r="37" spans="2:16" x14ac:dyDescent="0.2">
      <c r="B37" s="93"/>
      <c r="C37" s="162" t="s">
        <v>262</v>
      </c>
      <c r="D37" s="174">
        <f>'Population Yield'!L23</f>
        <v>0</v>
      </c>
      <c r="F37" s="300"/>
      <c r="G37" s="300"/>
      <c r="P37" s="94"/>
    </row>
    <row r="38" spans="2:16" ht="13.5" thickBot="1" x14ac:dyDescent="0.25">
      <c r="B38" s="93"/>
      <c r="C38" s="166" t="s">
        <v>263</v>
      </c>
      <c r="D38" s="175">
        <f>'Population Yield'!L24</f>
        <v>0</v>
      </c>
      <c r="F38" s="300"/>
      <c r="G38" s="300"/>
      <c r="P38" s="94"/>
    </row>
    <row r="39" spans="2:16" ht="13.5" thickBot="1" x14ac:dyDescent="0.25">
      <c r="B39" s="93"/>
      <c r="C39" s="164" t="s">
        <v>120</v>
      </c>
      <c r="D39" s="176">
        <f>'Population Yield'!L25</f>
        <v>0</v>
      </c>
      <c r="F39" s="300"/>
      <c r="G39" s="300"/>
      <c r="P39" s="94"/>
    </row>
    <row r="40" spans="2:16" x14ac:dyDescent="0.2">
      <c r="B40" s="101"/>
      <c r="C40" s="102"/>
      <c r="D40" s="102"/>
      <c r="E40" s="102"/>
      <c r="F40" s="102"/>
      <c r="G40" s="102"/>
      <c r="H40" s="102"/>
      <c r="I40" s="102"/>
      <c r="J40" s="102"/>
      <c r="K40" s="102"/>
      <c r="L40" s="102"/>
      <c r="M40" s="102"/>
      <c r="N40" s="102"/>
      <c r="O40" s="102"/>
      <c r="P40" s="103"/>
    </row>
    <row r="42" spans="2:16" x14ac:dyDescent="0.2">
      <c r="C42" s="63" t="s">
        <v>179</v>
      </c>
    </row>
    <row r="47" spans="2:16" x14ac:dyDescent="0.2">
      <c r="C47" s="194"/>
    </row>
  </sheetData>
  <sheetProtection algorithmName="SHA-512" hashValue="tQTiqKtg3v293j+cvmfxKjnniEjzfRVJUhNNx6s31adzZ2rWDLFgemmlYZW34XFAsHsewaVS6c5F+4CTmiduLA==" saltValue="MJW8KLzhi4+Bl/m8OUr/UQ==" spinCount="100000" sheet="1" selectLockedCells="1"/>
  <mergeCells count="6">
    <mergeCell ref="F20:G31"/>
    <mergeCell ref="F35:G39"/>
    <mergeCell ref="C12:J12"/>
    <mergeCell ref="E7:J8"/>
    <mergeCell ref="C7:C8"/>
    <mergeCell ref="D7:D8"/>
  </mergeCells>
  <conditionalFormatting sqref="C7">
    <cfRule type="expression" dxfId="17" priority="2">
      <formula>$C$7="Yes"</formula>
    </cfRule>
  </conditionalFormatting>
  <conditionalFormatting sqref="C12">
    <cfRule type="expression" dxfId="16" priority="1">
      <formula>$C$7="Yes"</formula>
    </cfRule>
  </conditionalFormatting>
  <hyperlinks>
    <hyperlink ref="F35" r:id="rId1" xr:uid="{00000000-0004-0000-0A00-000000000000}"/>
    <hyperlink ref="F20" r:id="rId2" xr:uid="{00000000-0004-0000-0A00-000001000000}"/>
    <hyperlink ref="F20:G31" r:id="rId3" display="As expected over time, calculated using the Council's population yield calculator" xr:uid="{633DC251-D510-4580-BAB8-6968819E0E6C}"/>
    <hyperlink ref="F35:G39" r:id="rId4" display="As expected over time, calculated using the Council's population yield calculator" xr:uid="{F34C2AE9-D7BB-4EB6-9DFD-3B6931C9946F}"/>
  </hyperlinks>
  <pageMargins left="0.39370078740157483" right="0.39370078740157483" top="0.39370078740157483" bottom="0.39370078740157483" header="0.19685039370078741" footer="0.19685039370078741"/>
  <pageSetup paperSize="9" scale="96" orientation="landscape" r:id="rId5"/>
  <headerFooter>
    <oddHeader>&amp;L&amp;"Calibri"&amp;10&amp;K000000Official&amp;1#_x000D_&amp;"Calibri"&amp;11&amp;K000000&amp;9&amp;F</oddHeader>
    <oddFooter>&amp;R&amp;9Page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autoPageBreaks="0"/>
  </sheetPr>
  <dimension ref="B2:P47"/>
  <sheetViews>
    <sheetView workbookViewId="0">
      <selection activeCell="E13" sqref="E13"/>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272</v>
      </c>
      <c r="D3" s="96"/>
      <c r="E3" s="96"/>
      <c r="F3" s="96"/>
      <c r="G3" s="96"/>
      <c r="H3" s="96"/>
      <c r="I3" s="96"/>
      <c r="J3" s="96"/>
      <c r="K3" s="96"/>
      <c r="L3" s="96"/>
      <c r="M3" s="96"/>
      <c r="N3" s="96"/>
      <c r="O3" s="96"/>
      <c r="P3" s="97"/>
    </row>
    <row r="4" spans="2:16" ht="13.5" thickTop="1" x14ac:dyDescent="0.2">
      <c r="B4" s="93"/>
      <c r="P4" s="94"/>
    </row>
    <row r="5" spans="2:16" ht="16.5" x14ac:dyDescent="0.25">
      <c r="B5" s="93"/>
      <c r="C5" s="3" t="s">
        <v>273</v>
      </c>
      <c r="P5" s="94"/>
    </row>
    <row r="6" spans="2:16" x14ac:dyDescent="0.2">
      <c r="B6" s="93"/>
      <c r="P6" s="94"/>
    </row>
    <row r="7" spans="2:16" x14ac:dyDescent="0.2">
      <c r="B7" s="93"/>
      <c r="C7" s="119" t="s">
        <v>177</v>
      </c>
      <c r="P7" s="94"/>
    </row>
    <row r="8" spans="2:16" x14ac:dyDescent="0.2">
      <c r="B8" s="93"/>
      <c r="P8" s="94"/>
    </row>
    <row r="9" spans="2:16" x14ac:dyDescent="0.2">
      <c r="B9" s="93"/>
      <c r="C9" s="139" t="str">
        <f>IF('Development Details'!M36&gt;=10,"Yes","No")</f>
        <v>No</v>
      </c>
      <c r="D9" s="1" t="s">
        <v>178</v>
      </c>
      <c r="E9" s="276" t="str">
        <f>IF(C9="Yes", "The development provides 10 or more dwellings", "The development provides less than 10 dwellings")</f>
        <v>The development provides less than 10 dwellings</v>
      </c>
      <c r="F9" s="276"/>
      <c r="G9" s="276"/>
      <c r="H9" s="276"/>
      <c r="I9" s="276"/>
      <c r="P9" s="94"/>
    </row>
    <row r="10" spans="2:16" x14ac:dyDescent="0.2">
      <c r="B10" s="93"/>
      <c r="P10" s="94"/>
    </row>
    <row r="11" spans="2:16" x14ac:dyDescent="0.2">
      <c r="B11" s="93"/>
      <c r="C11" s="119" t="s">
        <v>274</v>
      </c>
      <c r="P11" s="94"/>
    </row>
    <row r="12" spans="2:16" x14ac:dyDescent="0.2">
      <c r="B12" s="93"/>
      <c r="P12" s="94"/>
    </row>
    <row r="13" spans="2:16" x14ac:dyDescent="0.2">
      <c r="B13" s="93"/>
      <c r="C13" t="s">
        <v>275</v>
      </c>
      <c r="E13" s="151">
        <v>0</v>
      </c>
      <c r="F13" t="s">
        <v>276</v>
      </c>
      <c r="P13" s="94"/>
    </row>
    <row r="14" spans="2:16" x14ac:dyDescent="0.2">
      <c r="B14" s="93"/>
      <c r="P14" s="94"/>
    </row>
    <row r="15" spans="2:16" x14ac:dyDescent="0.2">
      <c r="B15" s="93"/>
      <c r="C15" s="284" t="s">
        <v>277</v>
      </c>
      <c r="D15" s="284"/>
      <c r="E15" s="147" t="s">
        <v>184</v>
      </c>
      <c r="F15" s="284" t="s">
        <v>278</v>
      </c>
      <c r="G15" s="284"/>
      <c r="H15" s="284"/>
      <c r="I15" s="284"/>
      <c r="J15" s="284"/>
      <c r="K15" s="284"/>
      <c r="L15" s="284"/>
      <c r="M15" s="284"/>
      <c r="P15" s="94"/>
    </row>
    <row r="16" spans="2:16" x14ac:dyDescent="0.2">
      <c r="B16" s="93"/>
      <c r="C16" s="285"/>
      <c r="D16" s="285"/>
      <c r="E16" s="148" t="s">
        <v>184</v>
      </c>
      <c r="F16" s="285" t="str">
        <f>IF(C9="No","",TEXT(E13,"#,##0.00")&amp;" tonnes of carbon dioxide per year × £95 × 30 years")</f>
        <v/>
      </c>
      <c r="G16" s="285"/>
      <c r="H16" s="285"/>
      <c r="I16" s="285"/>
      <c r="J16" s="285"/>
      <c r="K16" s="285"/>
      <c r="L16" s="285"/>
      <c r="M16" s="285"/>
      <c r="P16" s="94"/>
    </row>
    <row r="17" spans="2:16" x14ac:dyDescent="0.2">
      <c r="B17" s="93"/>
      <c r="C17" s="276"/>
      <c r="D17" s="276"/>
      <c r="E17" s="139" t="s">
        <v>184</v>
      </c>
      <c r="F17" s="291" t="str">
        <f>IF(F16="","",E13*95*30)</f>
        <v/>
      </c>
      <c r="G17" s="291"/>
      <c r="H17" s="291"/>
      <c r="I17" s="291"/>
      <c r="J17" s="291"/>
      <c r="K17" s="291"/>
      <c r="L17" s="291"/>
      <c r="M17" s="291"/>
      <c r="P17" s="94"/>
    </row>
    <row r="18" spans="2:16" x14ac:dyDescent="0.2">
      <c r="B18" s="93"/>
      <c r="P18" s="94"/>
    </row>
    <row r="19" spans="2:16" ht="16.5" x14ac:dyDescent="0.25">
      <c r="B19" s="90"/>
      <c r="C19" s="127" t="s">
        <v>279</v>
      </c>
      <c r="D19" s="91"/>
      <c r="E19" s="91"/>
      <c r="F19" s="91"/>
      <c r="G19" s="91"/>
      <c r="H19" s="91"/>
      <c r="I19" s="91"/>
      <c r="J19" s="91"/>
      <c r="K19" s="91"/>
      <c r="L19" s="91"/>
      <c r="M19" s="91"/>
      <c r="N19" s="91"/>
      <c r="O19" s="91"/>
      <c r="P19" s="92"/>
    </row>
    <row r="20" spans="2:16" x14ac:dyDescent="0.2">
      <c r="B20" s="93"/>
      <c r="P20" s="94"/>
    </row>
    <row r="21" spans="2:16" x14ac:dyDescent="0.2">
      <c r="B21" s="93"/>
      <c r="C21" t="s">
        <v>280</v>
      </c>
      <c r="K21" s="152"/>
      <c r="P21" s="94"/>
    </row>
    <row r="22" spans="2:16" x14ac:dyDescent="0.2">
      <c r="B22" s="93"/>
      <c r="P22" s="94"/>
    </row>
    <row r="23" spans="2:16" x14ac:dyDescent="0.2">
      <c r="B23" s="93"/>
      <c r="C23" s="276" t="str">
        <f>IF(K21="No", "",IF(ISBLANK(K21),Inputs_still_required, "Planning obligation or financial contribution required"))</f>
        <v>Inputs still required</v>
      </c>
      <c r="D23" s="276"/>
      <c r="E23" s="276"/>
      <c r="F23" s="276"/>
      <c r="G23" s="276"/>
      <c r="P23" s="94"/>
    </row>
    <row r="24" spans="2:16" x14ac:dyDescent="0.2">
      <c r="B24" s="93"/>
      <c r="P24" s="94"/>
    </row>
    <row r="25" spans="2:16" ht="16.5" x14ac:dyDescent="0.25">
      <c r="B25" s="90"/>
      <c r="C25" s="127" t="s">
        <v>281</v>
      </c>
      <c r="D25" s="91"/>
      <c r="E25" s="91"/>
      <c r="F25" s="91"/>
      <c r="G25" s="91"/>
      <c r="H25" s="91"/>
      <c r="I25" s="91"/>
      <c r="J25" s="91"/>
      <c r="K25" s="91"/>
      <c r="L25" s="91"/>
      <c r="M25" s="91"/>
      <c r="N25" s="91"/>
      <c r="O25" s="91"/>
      <c r="P25" s="92"/>
    </row>
    <row r="26" spans="2:16" x14ac:dyDescent="0.2">
      <c r="B26" s="93"/>
      <c r="P26" s="94"/>
    </row>
    <row r="27" spans="2:16" x14ac:dyDescent="0.2">
      <c r="B27" s="93"/>
      <c r="C27" t="s">
        <v>282</v>
      </c>
      <c r="M27" s="152"/>
      <c r="P27" s="94"/>
    </row>
    <row r="28" spans="2:16" x14ac:dyDescent="0.2">
      <c r="B28" s="93"/>
      <c r="P28" s="94"/>
    </row>
    <row r="29" spans="2:16" x14ac:dyDescent="0.2">
      <c r="B29" s="93"/>
      <c r="C29" s="276" t="str">
        <f>IF(M27="No", "",IF(ISBLANK(M27),Inputs_still_required, "Planning obligation or commuted sum required"))</f>
        <v>Inputs still required</v>
      </c>
      <c r="D29" s="276"/>
      <c r="E29" s="276"/>
      <c r="F29" s="276"/>
      <c r="G29" s="276"/>
      <c r="P29" s="94"/>
    </row>
    <row r="30" spans="2:16" x14ac:dyDescent="0.2">
      <c r="B30" s="93"/>
      <c r="P30" s="94"/>
    </row>
    <row r="31" spans="2:16" ht="16.5" x14ac:dyDescent="0.25">
      <c r="B31" s="90"/>
      <c r="C31" s="127" t="s">
        <v>283</v>
      </c>
      <c r="D31" s="91"/>
      <c r="E31" s="91"/>
      <c r="F31" s="91"/>
      <c r="G31" s="91"/>
      <c r="H31" s="91"/>
      <c r="I31" s="91"/>
      <c r="J31" s="91"/>
      <c r="K31" s="91"/>
      <c r="L31" s="91"/>
      <c r="M31" s="91"/>
      <c r="N31" s="91"/>
      <c r="O31" s="91"/>
      <c r="P31" s="92"/>
    </row>
    <row r="32" spans="2:16" x14ac:dyDescent="0.2">
      <c r="B32" s="93"/>
      <c r="P32" s="94"/>
    </row>
    <row r="33" spans="2:16" x14ac:dyDescent="0.2">
      <c r="B33" s="93"/>
      <c r="C33" t="s">
        <v>284</v>
      </c>
      <c r="J33" s="152"/>
      <c r="P33" s="94"/>
    </row>
    <row r="34" spans="2:16" x14ac:dyDescent="0.2">
      <c r="B34" s="93"/>
      <c r="P34" s="94"/>
    </row>
    <row r="35" spans="2:16" x14ac:dyDescent="0.2">
      <c r="B35" s="93"/>
      <c r="C35" s="276" t="str">
        <f>IF(J33="No", "Planning obligation or commuted sum not required", IF(J33="Yes", "Planning obligation or commuted sum required",Inputs_still_required))</f>
        <v>Inputs still required</v>
      </c>
      <c r="D35" s="276"/>
      <c r="E35" s="276"/>
      <c r="F35" s="276"/>
      <c r="G35" s="276"/>
      <c r="P35" s="94"/>
    </row>
    <row r="36" spans="2:16" x14ac:dyDescent="0.2">
      <c r="B36" s="101"/>
      <c r="C36" s="102"/>
      <c r="D36" s="102"/>
      <c r="E36" s="102"/>
      <c r="F36" s="102"/>
      <c r="G36" s="102"/>
      <c r="H36" s="102"/>
      <c r="I36" s="102"/>
      <c r="J36" s="102"/>
      <c r="K36" s="102"/>
      <c r="L36" s="102"/>
      <c r="M36" s="102"/>
      <c r="N36" s="102"/>
      <c r="O36" s="102"/>
      <c r="P36" s="103"/>
    </row>
    <row r="38" spans="2:16" x14ac:dyDescent="0.2">
      <c r="C38" s="63" t="s">
        <v>179</v>
      </c>
    </row>
    <row r="47" spans="2:16" x14ac:dyDescent="0.2">
      <c r="C47" s="194"/>
    </row>
  </sheetData>
  <sheetProtection algorithmName="SHA-512" hashValue="Qi3bivtVp3XUJqdUNUqxdjAUSegKZAEPsuGQxdP2rocqYDHDJ+yxsOWvTUEKdL0de3iHUeRxwXuAY5V8qvcTOw==" saltValue="e1+Go3Ehp3j2VdZDMcAZ2A==" spinCount="100000" sheet="1" selectLockedCells="1"/>
  <mergeCells count="10">
    <mergeCell ref="E9:I9"/>
    <mergeCell ref="C23:G23"/>
    <mergeCell ref="F15:M15"/>
    <mergeCell ref="F16:M16"/>
    <mergeCell ref="F17:M17"/>
    <mergeCell ref="C35:G35"/>
    <mergeCell ref="C15:D15"/>
    <mergeCell ref="C16:D16"/>
    <mergeCell ref="C17:D17"/>
    <mergeCell ref="C29:G29"/>
  </mergeCells>
  <conditionalFormatting sqref="C9">
    <cfRule type="expression" dxfId="15" priority="12">
      <formula>$C$9="Yes"</formula>
    </cfRule>
  </conditionalFormatting>
  <conditionalFormatting sqref="C17 E17:F17">
    <cfRule type="expression" priority="10" stopIfTrue="1">
      <formula>$F$17=""</formula>
    </cfRule>
    <cfRule type="expression" dxfId="14" priority="11">
      <formula>$F$17&gt;0</formula>
    </cfRule>
  </conditionalFormatting>
  <conditionalFormatting sqref="C23">
    <cfRule type="expression" dxfId="13" priority="2">
      <formula>OR(ISBLANK($K$21), K21="Yes")</formula>
    </cfRule>
  </conditionalFormatting>
  <conditionalFormatting sqref="C29">
    <cfRule type="expression" dxfId="12" priority="6">
      <formula>OR(ISBLANK($M$27), M27="Yes")</formula>
    </cfRule>
  </conditionalFormatting>
  <conditionalFormatting sqref="C35">
    <cfRule type="expression" dxfId="11" priority="27">
      <formula>J33="Yes"</formula>
    </cfRule>
  </conditionalFormatting>
  <conditionalFormatting sqref="C23:G23">
    <cfRule type="expression" priority="1" stopIfTrue="1">
      <formula>$C$23=Inputs_still_required</formula>
    </cfRule>
  </conditionalFormatting>
  <conditionalFormatting sqref="C29:G29">
    <cfRule type="expression" priority="4" stopIfTrue="1">
      <formula>$C$29=Inputs_still_required</formula>
    </cfRule>
  </conditionalFormatting>
  <conditionalFormatting sqref="C35:G35">
    <cfRule type="expression" priority="3" stopIfTrue="1">
      <formula>$C$35=Inputs_still_required</formula>
    </cfRule>
  </conditionalFormatting>
  <dataValidations count="1">
    <dataValidation type="decimal" operator="greaterThanOrEqual" showInputMessage="1" showErrorMessage="1" error="Must be a number, 0 or greater" sqref="E13" xr:uid="{00000000-0002-0000-0B00-000000000000}">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B00-000001000000}">
          <x14:formula1>
            <xm:f>'Lookup Yes and No'!$A$1:$A$2</xm:f>
          </x14:formula1>
          <xm:sqref>M27 J33 K21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autoPageBreaks="0"/>
  </sheetPr>
  <dimension ref="B2:R50"/>
  <sheetViews>
    <sheetView topLeftCell="A12" workbookViewId="0">
      <selection activeCell="E12" sqref="E12:F12"/>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285</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139" t="str">
        <f>IF(OR('Development Details'!M36&gt;=10,'Development Details'!E71&gt;=1000),"Yes", "No")</f>
        <v>No</v>
      </c>
      <c r="D7" s="1" t="s">
        <v>178</v>
      </c>
      <c r="E7" s="276" t="str">
        <f>IF(C7="Yes", "The development provides 10 or more dwellings, or 1,000m² or more of floorspace", "The development provides less than 10 dwellings and less than 1,000m² of floorspace")</f>
        <v>The development provides less than 10 dwellings and less than 1,000m² of floorspace</v>
      </c>
      <c r="F7" s="276"/>
      <c r="G7" s="276"/>
      <c r="H7" s="276"/>
      <c r="I7" s="276"/>
      <c r="J7" s="276"/>
      <c r="K7" s="276"/>
      <c r="L7" s="276"/>
      <c r="P7" s="94"/>
    </row>
    <row r="8" spans="2:16" x14ac:dyDescent="0.2">
      <c r="B8" s="93"/>
      <c r="P8" s="94"/>
    </row>
    <row r="9" spans="2:16" ht="16.5" x14ac:dyDescent="0.25">
      <c r="B9" s="93"/>
      <c r="C9" s="3" t="s">
        <v>286</v>
      </c>
      <c r="P9" s="94"/>
    </row>
    <row r="10" spans="2:16" ht="13.5" thickBot="1" x14ac:dyDescent="0.25">
      <c r="B10" s="93"/>
      <c r="C10" s="119"/>
      <c r="P10" s="94"/>
    </row>
    <row r="11" spans="2:16" ht="13.5" customHeight="1" thickBot="1" x14ac:dyDescent="0.25">
      <c r="B11" s="93"/>
      <c r="C11" s="234" t="s">
        <v>287</v>
      </c>
      <c r="D11" s="234"/>
      <c r="E11" s="305" t="s">
        <v>288</v>
      </c>
      <c r="F11" s="305"/>
      <c r="P11" s="94"/>
    </row>
    <row r="12" spans="2:16" x14ac:dyDescent="0.2">
      <c r="B12" s="93"/>
      <c r="C12" s="289" t="s">
        <v>289</v>
      </c>
      <c r="D12" s="289"/>
      <c r="E12" s="272">
        <v>0</v>
      </c>
      <c r="F12" s="272"/>
      <c r="P12" s="94"/>
    </row>
    <row r="13" spans="2:16" ht="13.5" thickBot="1" x14ac:dyDescent="0.25">
      <c r="B13" s="93"/>
      <c r="C13" s="269" t="s">
        <v>290</v>
      </c>
      <c r="D13" s="269"/>
      <c r="E13" s="268">
        <v>0</v>
      </c>
      <c r="F13" s="268"/>
      <c r="P13" s="94"/>
    </row>
    <row r="14" spans="2:16" ht="13.5" thickBot="1" x14ac:dyDescent="0.25">
      <c r="B14" s="93"/>
      <c r="C14" s="243" t="s">
        <v>291</v>
      </c>
      <c r="D14" s="243"/>
      <c r="E14" s="307">
        <f>IF(E13&gt;E12,E13-E12,0)</f>
        <v>0</v>
      </c>
      <c r="F14" s="307"/>
      <c r="P14" s="94"/>
    </row>
    <row r="15" spans="2:16" ht="13.5" thickBot="1" x14ac:dyDescent="0.25">
      <c r="B15" s="93"/>
      <c r="P15" s="94"/>
    </row>
    <row r="16" spans="2:16" ht="13.5" customHeight="1" thickBot="1" x14ac:dyDescent="0.25">
      <c r="B16" s="93"/>
      <c r="C16" s="234" t="s">
        <v>292</v>
      </c>
      <c r="D16" s="234"/>
      <c r="E16" s="305" t="s">
        <v>288</v>
      </c>
      <c r="F16" s="305"/>
      <c r="P16" s="94"/>
    </row>
    <row r="17" spans="2:16" x14ac:dyDescent="0.2">
      <c r="B17" s="93"/>
      <c r="C17" s="289" t="s">
        <v>293</v>
      </c>
      <c r="D17" s="289"/>
      <c r="E17" s="272">
        <v>0</v>
      </c>
      <c r="F17" s="272"/>
      <c r="P17" s="94"/>
    </row>
    <row r="18" spans="2:16" ht="13.5" thickBot="1" x14ac:dyDescent="0.25">
      <c r="B18" s="93"/>
      <c r="C18" s="269" t="s">
        <v>290</v>
      </c>
      <c r="D18" s="269"/>
      <c r="E18" s="268">
        <v>0</v>
      </c>
      <c r="F18" s="268"/>
      <c r="P18" s="94"/>
    </row>
    <row r="19" spans="2:16" ht="13.5" thickBot="1" x14ac:dyDescent="0.25">
      <c r="B19" s="93"/>
      <c r="C19" s="234" t="s">
        <v>291</v>
      </c>
      <c r="D19" s="234"/>
      <c r="E19" s="307">
        <f>IF(E18&gt;E17,E18-E17,0)</f>
        <v>0</v>
      </c>
      <c r="F19" s="307"/>
      <c r="P19" s="94"/>
    </row>
    <row r="20" spans="2:16" x14ac:dyDescent="0.2">
      <c r="B20" s="93"/>
      <c r="P20" s="94"/>
    </row>
    <row r="21" spans="2:16" ht="16.5" x14ac:dyDescent="0.25">
      <c r="B21" s="93"/>
      <c r="C21" s="3" t="s">
        <v>294</v>
      </c>
      <c r="P21" s="94"/>
    </row>
    <row r="22" spans="2:16" x14ac:dyDescent="0.2">
      <c r="B22" s="93"/>
      <c r="P22" s="94"/>
    </row>
    <row r="23" spans="2:16" x14ac:dyDescent="0.2">
      <c r="B23" s="93"/>
      <c r="C23" t="s">
        <v>295</v>
      </c>
      <c r="G23" s="139" t="str">
        <f>IF(C7="No","", IF((E14+E19)&gt;0,"Yes", "No"))</f>
        <v/>
      </c>
      <c r="H23" s="1" t="s">
        <v>178</v>
      </c>
      <c r="I23" s="276" t="str">
        <f>IF(G23="Yes","Emission benchmarks are exceeded", IF(G23="No", "Emission benchmarks are not exceeded", ""))</f>
        <v/>
      </c>
      <c r="J23" s="276"/>
      <c r="K23" s="276"/>
      <c r="L23" s="276"/>
      <c r="P23" s="94"/>
    </row>
    <row r="24" spans="2:16" x14ac:dyDescent="0.2">
      <c r="B24" s="93"/>
      <c r="D24" s="1"/>
      <c r="P24" s="94"/>
    </row>
    <row r="25" spans="2:16" x14ac:dyDescent="0.2">
      <c r="B25" s="93"/>
      <c r="C25" s="119" t="s">
        <v>296</v>
      </c>
      <c r="P25" s="94"/>
    </row>
    <row r="26" spans="2:16" x14ac:dyDescent="0.2">
      <c r="B26" s="93"/>
      <c r="P26" s="94"/>
    </row>
    <row r="27" spans="2:16" x14ac:dyDescent="0.2">
      <c r="B27" s="93"/>
      <c r="C27" t="s">
        <v>297</v>
      </c>
      <c r="J27" s="152"/>
      <c r="P27" s="94"/>
    </row>
    <row r="28" spans="2:16" x14ac:dyDescent="0.2">
      <c r="B28" s="93"/>
      <c r="P28" s="94"/>
    </row>
    <row r="29" spans="2:16" x14ac:dyDescent="0.2">
      <c r="B29" s="93"/>
      <c r="C29" s="303" t="s">
        <v>298</v>
      </c>
      <c r="D29" s="303"/>
      <c r="E29" s="277" t="str">
        <f>IF(G23="","",IF(G23="No","No", IF(J27="No","Yes", IF(ISBLANK(J27),Inputs_still_required,"No"))))</f>
        <v/>
      </c>
      <c r="F29" s="279" t="s">
        <v>178</v>
      </c>
      <c r="G29" s="295" t="str">
        <f>IF(E29="Yes","The air quality impacts of the new development will not be fully mitigated",IF(AND(E29="No",G23="Yes"),"The air quality impacts of the new development will be fully mitigated",""))</f>
        <v/>
      </c>
      <c r="H29" s="295"/>
      <c r="I29" s="295"/>
      <c r="J29" s="295"/>
      <c r="P29" s="94"/>
    </row>
    <row r="30" spans="2:16" x14ac:dyDescent="0.2">
      <c r="B30" s="93"/>
      <c r="C30" s="303"/>
      <c r="D30" s="303"/>
      <c r="E30" s="277"/>
      <c r="F30" s="279"/>
      <c r="G30" s="295"/>
      <c r="H30" s="295"/>
      <c r="I30" s="295"/>
      <c r="J30" s="295"/>
      <c r="P30" s="94"/>
    </row>
    <row r="31" spans="2:16" x14ac:dyDescent="0.2">
      <c r="B31" s="93"/>
      <c r="P31" s="94"/>
    </row>
    <row r="32" spans="2:16" ht="14.25" x14ac:dyDescent="0.25">
      <c r="B32" s="93"/>
      <c r="C32" s="284" t="s">
        <v>299</v>
      </c>
      <c r="D32" s="284"/>
      <c r="E32" s="284"/>
      <c r="F32" s="141" t="s">
        <v>184</v>
      </c>
      <c r="G32" s="284" t="s">
        <v>300</v>
      </c>
      <c r="H32" s="284"/>
      <c r="I32" s="284"/>
      <c r="J32" s="284"/>
      <c r="K32" s="284"/>
      <c r="L32" s="284"/>
      <c r="M32" s="284"/>
      <c r="N32" s="284"/>
      <c r="O32" s="284"/>
      <c r="P32" s="94"/>
    </row>
    <row r="33" spans="2:18" ht="14.25" x14ac:dyDescent="0.25">
      <c r="B33" s="93"/>
      <c r="C33" s="284"/>
      <c r="D33" s="284"/>
      <c r="E33" s="284"/>
      <c r="F33" s="141" t="s">
        <v>184</v>
      </c>
      <c r="G33" s="306" t="s">
        <v>301</v>
      </c>
      <c r="H33" s="306"/>
      <c r="I33" s="306"/>
      <c r="J33" s="306"/>
      <c r="K33" s="306"/>
      <c r="L33" s="306"/>
      <c r="M33" s="306"/>
      <c r="N33" s="306"/>
      <c r="O33" s="306"/>
      <c r="P33" s="153"/>
      <c r="Q33" s="88"/>
      <c r="R33" s="88"/>
    </row>
    <row r="34" spans="2:18" x14ac:dyDescent="0.2">
      <c r="B34" s="93"/>
      <c r="C34" s="285"/>
      <c r="D34" s="285"/>
      <c r="E34" s="285"/>
      <c r="F34" s="142" t="s">
        <v>184</v>
      </c>
      <c r="G34" s="285" t="str">
        <f>IF(OR(E29="No",E29=""),"",IF(E29=Inputs_still_required,Inputs_still_required,"(£29,000 × ("&amp;TEXT(E14,"#,##0")&amp;" / 1,000)) + (£192,456 × ("&amp;TEXT(E19,"#,##0")&amp;" / 1,000))"))</f>
        <v/>
      </c>
      <c r="H34" s="285"/>
      <c r="I34" s="285"/>
      <c r="J34" s="285"/>
      <c r="K34" s="285"/>
      <c r="L34" s="285"/>
      <c r="M34" s="285"/>
      <c r="N34" s="285"/>
      <c r="O34" s="285"/>
      <c r="P34" s="94"/>
    </row>
    <row r="35" spans="2:18" x14ac:dyDescent="0.2">
      <c r="B35" s="93"/>
      <c r="C35" s="285"/>
      <c r="D35" s="285"/>
      <c r="E35" s="285"/>
      <c r="F35" s="142" t="s">
        <v>184</v>
      </c>
      <c r="G35" s="285" t="str">
        <f>IF(OR(E29="No",E29=""),"",IF(G34=Inputs_still_required,Inputs_still_required,"£"&amp;(TEXT(29000*(E14/1000),"#,##0"))&amp;" + £"&amp;(TEXT(192456*(E19/1000),"#,##0"))))</f>
        <v/>
      </c>
      <c r="H35" s="285"/>
      <c r="I35" s="285"/>
      <c r="J35" s="285"/>
      <c r="K35" s="285"/>
      <c r="L35" s="285"/>
      <c r="M35" s="285"/>
      <c r="N35" s="285"/>
      <c r="O35" s="285"/>
      <c r="P35" s="94"/>
    </row>
    <row r="36" spans="2:18" x14ac:dyDescent="0.2">
      <c r="B36" s="93"/>
      <c r="C36" s="276"/>
      <c r="D36" s="276"/>
      <c r="E36" s="276"/>
      <c r="F36" s="144" t="s">
        <v>184</v>
      </c>
      <c r="G36" s="291" t="str">
        <f>IF(OR(E29="",E29="No"),"",IF(G35=Inputs_still_required,Inputs_still_required,(29000*(E14/1000)) + (192456*(E19/1000))))</f>
        <v/>
      </c>
      <c r="H36" s="291"/>
      <c r="I36" s="291"/>
      <c r="J36" s="291"/>
      <c r="K36" s="291"/>
      <c r="L36" s="291"/>
      <c r="M36" s="291"/>
      <c r="N36" s="291"/>
      <c r="O36" s="291"/>
      <c r="P36" s="94"/>
    </row>
    <row r="37" spans="2:18" x14ac:dyDescent="0.2">
      <c r="B37" s="93"/>
      <c r="P37" s="94"/>
    </row>
    <row r="38" spans="2:18" ht="19.5" thickBot="1" x14ac:dyDescent="0.3">
      <c r="B38" s="95"/>
      <c r="C38" s="96" t="s">
        <v>302</v>
      </c>
      <c r="D38" s="96"/>
      <c r="E38" s="96"/>
      <c r="F38" s="96"/>
      <c r="G38" s="96"/>
      <c r="H38" s="96"/>
      <c r="I38" s="96"/>
      <c r="J38" s="96"/>
      <c r="K38" s="96"/>
      <c r="L38" s="96"/>
      <c r="M38" s="96"/>
      <c r="N38" s="96"/>
      <c r="O38" s="96"/>
      <c r="P38" s="97"/>
    </row>
    <row r="39" spans="2:18" ht="13.5" thickTop="1" x14ac:dyDescent="0.2">
      <c r="B39" s="93"/>
      <c r="P39" s="94"/>
    </row>
    <row r="40" spans="2:18" ht="16.5" x14ac:dyDescent="0.25">
      <c r="B40" s="93"/>
      <c r="C40" s="3" t="s">
        <v>177</v>
      </c>
      <c r="P40" s="94"/>
    </row>
    <row r="41" spans="2:18" x14ac:dyDescent="0.2">
      <c r="B41" s="93"/>
      <c r="P41" s="94"/>
    </row>
    <row r="42" spans="2:18" x14ac:dyDescent="0.2">
      <c r="B42" s="93"/>
      <c r="C42" s="139" t="str">
        <f>IF(OR('Development Details'!M36&gt;=10,'Development Details'!E71&gt;=1000),"Yes", "No")</f>
        <v>No</v>
      </c>
      <c r="D42" s="1" t="s">
        <v>178</v>
      </c>
      <c r="E42" s="276" t="str">
        <f>IF(C42="Yes", "The development provides 10 or more dwellings, or 1,000m² or more of floorspace", "The development provides less than 10 dwellings and less than 1,000m² of floorspace")</f>
        <v>The development provides less than 10 dwellings and less than 1,000m² of floorspace</v>
      </c>
      <c r="F42" s="276"/>
      <c r="G42" s="276"/>
      <c r="H42" s="276"/>
      <c r="I42" s="276"/>
      <c r="J42" s="276"/>
      <c r="K42" s="276"/>
      <c r="L42" s="276"/>
      <c r="P42" s="94"/>
    </row>
    <row r="43" spans="2:18" x14ac:dyDescent="0.2">
      <c r="B43" s="93"/>
      <c r="P43" s="94"/>
    </row>
    <row r="44" spans="2:18" ht="12.75" customHeight="1" x14ac:dyDescent="0.2">
      <c r="B44" s="93"/>
      <c r="C44" s="123" t="s">
        <v>303</v>
      </c>
      <c r="D44" s="125"/>
      <c r="E44" s="125"/>
      <c r="F44" s="125"/>
      <c r="G44" s="125"/>
      <c r="H44" s="125"/>
      <c r="I44" s="125"/>
      <c r="L44" s="120"/>
      <c r="P44" s="94"/>
    </row>
    <row r="45" spans="2:18" x14ac:dyDescent="0.2">
      <c r="B45" s="93"/>
      <c r="C45" s="125"/>
      <c r="D45" s="125"/>
      <c r="E45" s="125"/>
      <c r="F45" s="125"/>
      <c r="G45" s="125"/>
      <c r="H45" s="125"/>
      <c r="I45" s="125"/>
      <c r="J45" s="125"/>
      <c r="P45" s="94"/>
    </row>
    <row r="46" spans="2:18" x14ac:dyDescent="0.2">
      <c r="B46" s="93"/>
      <c r="C46" s="258" t="s">
        <v>219</v>
      </c>
      <c r="D46" s="258"/>
      <c r="E46" s="277" t="str">
        <f>IF(C42="No", "", IF(ISBLANK(L44),Inputs_still_required,L44))</f>
        <v/>
      </c>
      <c r="F46" s="279" t="s">
        <v>178</v>
      </c>
      <c r="G46" s="295" t="str">
        <f>IF(OR(C42="No",E46=Inputs_still_required),"",IF(L44="Yes","The proposal has a street cleansing impact that cannot be mitigated and contained wholly on site","The proposal does not have a street cleansing impact or it can be mitigated and contained wholly on site"))</f>
        <v/>
      </c>
      <c r="H46" s="295"/>
      <c r="I46" s="295"/>
      <c r="J46" s="295"/>
      <c r="K46" s="295"/>
      <c r="P46" s="94"/>
    </row>
    <row r="47" spans="2:18" x14ac:dyDescent="0.2">
      <c r="B47" s="93"/>
      <c r="C47" s="304"/>
      <c r="D47" s="258"/>
      <c r="E47" s="277"/>
      <c r="F47" s="279"/>
      <c r="G47" s="295"/>
      <c r="H47" s="295"/>
      <c r="I47" s="295"/>
      <c r="J47" s="295"/>
      <c r="K47" s="295"/>
      <c r="P47" s="94"/>
    </row>
    <row r="48" spans="2:18" x14ac:dyDescent="0.2">
      <c r="B48" s="101"/>
      <c r="C48" s="102"/>
      <c r="D48" s="102"/>
      <c r="E48" s="102"/>
      <c r="F48" s="102"/>
      <c r="G48" s="102"/>
      <c r="H48" s="102"/>
      <c r="I48" s="102"/>
      <c r="J48" s="102"/>
      <c r="K48" s="102"/>
      <c r="L48" s="102"/>
      <c r="M48" s="102"/>
      <c r="N48" s="102"/>
      <c r="O48" s="102"/>
      <c r="P48" s="103"/>
    </row>
    <row r="50" spans="3:3" x14ac:dyDescent="0.2">
      <c r="C50" s="63" t="s">
        <v>179</v>
      </c>
    </row>
  </sheetData>
  <sheetProtection algorithmName="SHA-512" hashValue="WHNyuY5dZjj2go6idnr/+55gpZ3ZSRb+QRSNOQoGNW13gMGKo4qmZRugZ7IFoCcBsh97ilzoVE6akAZk66QZng==" saltValue="VXU2wH4AOJ1NHsKT3eTAvQ==" spinCount="100000" sheet="1" selectLockedCells="1"/>
  <mergeCells count="37">
    <mergeCell ref="E42:L42"/>
    <mergeCell ref="E18:F18"/>
    <mergeCell ref="E19:F19"/>
    <mergeCell ref="C11:D11"/>
    <mergeCell ref="C12:D12"/>
    <mergeCell ref="C13:D13"/>
    <mergeCell ref="C14:D14"/>
    <mergeCell ref="C16:D16"/>
    <mergeCell ref="C17:D17"/>
    <mergeCell ref="C18:D18"/>
    <mergeCell ref="C19:D19"/>
    <mergeCell ref="E12:F12"/>
    <mergeCell ref="E13:F13"/>
    <mergeCell ref="E14:F14"/>
    <mergeCell ref="E16:F16"/>
    <mergeCell ref="E17:F17"/>
    <mergeCell ref="E11:F11"/>
    <mergeCell ref="G33:O33"/>
    <mergeCell ref="G32:O32"/>
    <mergeCell ref="G34:O34"/>
    <mergeCell ref="G35:O35"/>
    <mergeCell ref="G36:O36"/>
    <mergeCell ref="E46:E47"/>
    <mergeCell ref="G46:K47"/>
    <mergeCell ref="F46:F47"/>
    <mergeCell ref="E7:L7"/>
    <mergeCell ref="I23:L23"/>
    <mergeCell ref="C32:E32"/>
    <mergeCell ref="C33:E33"/>
    <mergeCell ref="C34:E34"/>
    <mergeCell ref="C35:E35"/>
    <mergeCell ref="C36:E36"/>
    <mergeCell ref="E29:E30"/>
    <mergeCell ref="C29:D30"/>
    <mergeCell ref="F29:F30"/>
    <mergeCell ref="G29:J30"/>
    <mergeCell ref="C46:D47"/>
  </mergeCells>
  <conditionalFormatting sqref="C7">
    <cfRule type="expression" dxfId="10" priority="8">
      <formula>$C$7="Yes"</formula>
    </cfRule>
  </conditionalFormatting>
  <conditionalFormatting sqref="C36 F36:G36">
    <cfRule type="expression" priority="1" stopIfTrue="1">
      <formula>$G$36=""</formula>
    </cfRule>
    <cfRule type="expression" dxfId="9" priority="5">
      <formula>$G$36&gt;0</formula>
    </cfRule>
  </conditionalFormatting>
  <conditionalFormatting sqref="C42">
    <cfRule type="expression" dxfId="8" priority="3">
      <formula>$C$42="Yes"</formula>
    </cfRule>
  </conditionalFormatting>
  <conditionalFormatting sqref="C36:O36">
    <cfRule type="expression" priority="4" stopIfTrue="1">
      <formula>$G$36=Inputs_still_required</formula>
    </cfRule>
  </conditionalFormatting>
  <conditionalFormatting sqref="E29">
    <cfRule type="expression" dxfId="7" priority="6">
      <formula>$E$29="Yes"</formula>
    </cfRule>
  </conditionalFormatting>
  <conditionalFormatting sqref="E46">
    <cfRule type="expression" dxfId="6" priority="2">
      <formula>$E$46="Yes"</formula>
    </cfRule>
  </conditionalFormatting>
  <conditionalFormatting sqref="G23">
    <cfRule type="expression" dxfId="5" priority="7">
      <formula>$G$23="Yes"</formula>
    </cfRule>
  </conditionalFormatting>
  <dataValidations count="3">
    <dataValidation type="decimal" operator="greaterThanOrEqual" allowBlank="1" showInputMessage="1" showErrorMessage="1" error="Emmission benchmark must be a number, 0 or greater" sqref="E12" xr:uid="{00000000-0002-0000-0C00-000000000000}">
      <formula1>0</formula1>
    </dataValidation>
    <dataValidation type="decimal" operator="greaterThanOrEqual" allowBlank="1" showInputMessage="1" showErrorMessage="1" error="Emissions must be a number, 0 or greater" sqref="E13 E18" xr:uid="{00000000-0002-0000-0C00-000001000000}">
      <formula1>0</formula1>
    </dataValidation>
    <dataValidation type="decimal" operator="greaterThanOrEqual" allowBlank="1" showInputMessage="1" showErrorMessage="1" error="Emission benchmark must be a number, 0 or greater" sqref="E17" xr:uid="{00000000-0002-0000-0C00-000002000000}">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rowBreaks count="1" manualBreakCount="1">
    <brk id="37" min="1"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C00-000003000000}">
          <x14:formula1>
            <xm:f>'Lookup Yes and No'!$A$1:$A$2</xm:f>
          </x14:formula1>
          <xm:sqref>J27 L44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autoPageBreaks="0"/>
  </sheetPr>
  <dimension ref="B2:P47"/>
  <sheetViews>
    <sheetView workbookViewId="0">
      <selection activeCell="M5" sqref="M5"/>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304</v>
      </c>
      <c r="D3" s="96"/>
      <c r="E3" s="96"/>
      <c r="F3" s="96"/>
      <c r="G3" s="96"/>
      <c r="H3" s="96"/>
      <c r="I3" s="96"/>
      <c r="J3" s="96"/>
      <c r="K3" s="96"/>
      <c r="L3" s="96"/>
      <c r="M3" s="96"/>
      <c r="N3" s="96"/>
      <c r="O3" s="96"/>
      <c r="P3" s="97"/>
    </row>
    <row r="4" spans="2:16" ht="13.5" thickTop="1" x14ac:dyDescent="0.2">
      <c r="B4" s="93"/>
      <c r="P4" s="94"/>
    </row>
    <row r="5" spans="2:16" x14ac:dyDescent="0.2">
      <c r="B5" s="93"/>
      <c r="C5" t="s">
        <v>305</v>
      </c>
      <c r="M5" s="152"/>
      <c r="P5" s="94"/>
    </row>
    <row r="6" spans="2:16" x14ac:dyDescent="0.2">
      <c r="B6" s="93"/>
      <c r="P6" s="94"/>
    </row>
    <row r="7" spans="2:16" x14ac:dyDescent="0.2">
      <c r="B7" s="93"/>
      <c r="C7" s="280" t="s">
        <v>306</v>
      </c>
      <c r="D7" s="280"/>
      <c r="E7" s="280"/>
      <c r="F7" s="280"/>
      <c r="G7" s="277" t="str">
        <f>IF(ISBLANK(M5),Inputs_still_required,M5)</f>
        <v>Inputs still required</v>
      </c>
      <c r="P7" s="94"/>
    </row>
    <row r="8" spans="2:16" x14ac:dyDescent="0.2">
      <c r="B8" s="93"/>
      <c r="C8" s="280"/>
      <c r="D8" s="280"/>
      <c r="E8" s="280"/>
      <c r="F8" s="280"/>
      <c r="G8" s="277"/>
      <c r="P8" s="94"/>
    </row>
    <row r="9" spans="2:16" x14ac:dyDescent="0.2">
      <c r="B9" s="93"/>
      <c r="P9" s="94"/>
    </row>
    <row r="10" spans="2:16" ht="19.5" thickBot="1" x14ac:dyDescent="0.3">
      <c r="B10" s="95"/>
      <c r="C10" s="96" t="s">
        <v>307</v>
      </c>
      <c r="D10" s="96"/>
      <c r="E10" s="96"/>
      <c r="F10" s="96"/>
      <c r="G10" s="96"/>
      <c r="H10" s="96"/>
      <c r="I10" s="96"/>
      <c r="J10" s="96"/>
      <c r="K10" s="96"/>
      <c r="L10" s="96"/>
      <c r="M10" s="96"/>
      <c r="N10" s="96"/>
      <c r="O10" s="96"/>
      <c r="P10" s="97"/>
    </row>
    <row r="11" spans="2:16" ht="13.5" thickTop="1" x14ac:dyDescent="0.2">
      <c r="B11" s="93"/>
      <c r="P11" s="94"/>
    </row>
    <row r="12" spans="2:16" x14ac:dyDescent="0.2">
      <c r="B12" s="93"/>
      <c r="C12" t="s">
        <v>308</v>
      </c>
      <c r="L12" s="152"/>
      <c r="P12" s="94"/>
    </row>
    <row r="13" spans="2:16" x14ac:dyDescent="0.2">
      <c r="B13" s="93"/>
      <c r="P13" s="94"/>
    </row>
    <row r="14" spans="2:16" x14ac:dyDescent="0.2">
      <c r="B14" s="93"/>
      <c r="C14" s="208" t="s">
        <v>309</v>
      </c>
      <c r="D14" s="208"/>
      <c r="E14" s="208"/>
      <c r="F14" s="277" t="str">
        <f>IF(ISBLANK(L12),Inputs_still_required,L12)</f>
        <v>Inputs still required</v>
      </c>
      <c r="P14" s="94"/>
    </row>
    <row r="15" spans="2:16" x14ac:dyDescent="0.2">
      <c r="B15" s="93"/>
      <c r="C15" s="208"/>
      <c r="D15" s="208"/>
      <c r="E15" s="208"/>
      <c r="F15" s="277"/>
      <c r="P15" s="94"/>
    </row>
    <row r="16" spans="2:16" x14ac:dyDescent="0.2">
      <c r="B16" s="101"/>
      <c r="C16" s="102"/>
      <c r="D16" s="102"/>
      <c r="E16" s="102"/>
      <c r="F16" s="102"/>
      <c r="G16" s="102"/>
      <c r="H16" s="102"/>
      <c r="I16" s="102"/>
      <c r="J16" s="102"/>
      <c r="K16" s="102"/>
      <c r="L16" s="102"/>
      <c r="M16" s="102"/>
      <c r="N16" s="102"/>
      <c r="O16" s="102"/>
      <c r="P16" s="103"/>
    </row>
    <row r="18" spans="3:3" x14ac:dyDescent="0.2">
      <c r="C18" s="63" t="s">
        <v>179</v>
      </c>
    </row>
    <row r="47" spans="3:3" x14ac:dyDescent="0.2">
      <c r="C47" s="194"/>
    </row>
  </sheetData>
  <sheetProtection algorithmName="SHA-512" hashValue="xPqeDlRA4ZgbEoJSyVmCLcmdrvL+Hr6K1aATtyoI2cIQdXxoTSq0alxNMUZTs+z7Ql2v4++VF1rnFo4xjqih4A==" saltValue="xpocUIvrD07qaripDpRDIA==" spinCount="100000" sheet="1" selectLockedCells="1"/>
  <mergeCells count="4">
    <mergeCell ref="G7:G8"/>
    <mergeCell ref="C7:F8"/>
    <mergeCell ref="C14:E15"/>
    <mergeCell ref="F14:F15"/>
  </mergeCells>
  <conditionalFormatting sqref="F14">
    <cfRule type="expression" dxfId="4" priority="1">
      <formula>$F$14="Yes"</formula>
    </cfRule>
  </conditionalFormatting>
  <conditionalFormatting sqref="G7">
    <cfRule type="expression" dxfId="3" priority="2">
      <formula>$G$7="Yes"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D00-000000000000}">
          <x14:formula1>
            <xm:f>'Lookup Yes and No'!$A$1:$A$2</xm:f>
          </x14:formula1>
          <xm:sqref>M5 L12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B2:R66"/>
  <sheetViews>
    <sheetView topLeftCell="A14" workbookViewId="0">
      <selection activeCell="K30" sqref="K30:L30"/>
    </sheetView>
  </sheetViews>
  <sheetFormatPr defaultColWidth="9.140625" defaultRowHeight="12.75" x14ac:dyDescent="0.2"/>
  <cols>
    <col min="1" max="2" width="2.7109375" customWidth="1"/>
    <col min="3" max="8" width="9.140625" customWidth="1"/>
    <col min="12" max="12" width="9.14062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310</v>
      </c>
      <c r="D3" s="96"/>
      <c r="E3" s="96"/>
      <c r="F3" s="96"/>
      <c r="G3" s="96"/>
      <c r="H3" s="96"/>
      <c r="I3" s="96"/>
      <c r="J3" s="96"/>
      <c r="K3" s="96"/>
      <c r="L3" s="96"/>
      <c r="M3" s="96"/>
      <c r="N3" s="96"/>
      <c r="O3" s="96"/>
      <c r="P3" s="97"/>
    </row>
    <row r="4" spans="2:16" ht="13.5" thickTop="1" x14ac:dyDescent="0.2">
      <c r="B4" s="93"/>
      <c r="P4" s="94"/>
    </row>
    <row r="5" spans="2:16" ht="16.5" x14ac:dyDescent="0.25">
      <c r="B5" s="93"/>
      <c r="C5" s="294" t="s">
        <v>177</v>
      </c>
      <c r="D5" s="294"/>
      <c r="E5" s="294"/>
      <c r="F5" s="294"/>
      <c r="G5" s="294"/>
      <c r="H5" s="294"/>
      <c r="I5" s="294"/>
      <c r="J5" s="294"/>
      <c r="K5" s="294"/>
      <c r="L5" s="294"/>
      <c r="M5" s="294"/>
      <c r="N5" s="294"/>
      <c r="P5" s="94"/>
    </row>
    <row r="6" spans="2:16" x14ac:dyDescent="0.2">
      <c r="B6" s="93"/>
      <c r="P6" s="94"/>
    </row>
    <row r="7" spans="2:16" x14ac:dyDescent="0.2">
      <c r="B7" s="93"/>
      <c r="C7" s="154" t="s">
        <v>311</v>
      </c>
      <c r="D7" s="1" t="s">
        <v>178</v>
      </c>
      <c r="E7" s="276" t="s">
        <v>312</v>
      </c>
      <c r="F7" s="276"/>
      <c r="G7" s="276"/>
      <c r="H7" s="276"/>
      <c r="P7" s="94"/>
    </row>
    <row r="8" spans="2:16" x14ac:dyDescent="0.2">
      <c r="B8" s="93"/>
      <c r="P8" s="94"/>
    </row>
    <row r="9" spans="2:16" ht="16.5" x14ac:dyDescent="0.25">
      <c r="B9" s="90"/>
      <c r="C9" s="127" t="s">
        <v>313</v>
      </c>
      <c r="D9" s="127"/>
      <c r="E9" s="127"/>
      <c r="F9" s="127"/>
      <c r="G9" s="127"/>
      <c r="H9" s="127"/>
      <c r="I9" s="127"/>
      <c r="J9" s="127"/>
      <c r="K9" s="127"/>
      <c r="L9" s="127"/>
      <c r="M9" s="127"/>
      <c r="N9" s="127"/>
      <c r="O9" s="91"/>
      <c r="P9" s="92"/>
    </row>
    <row r="10" spans="2:16" x14ac:dyDescent="0.2">
      <c r="B10" s="93"/>
      <c r="P10" s="94"/>
    </row>
    <row r="11" spans="2:16" ht="12.75" customHeight="1" x14ac:dyDescent="0.2">
      <c r="B11" s="93"/>
      <c r="C11" s="317" t="s">
        <v>314</v>
      </c>
      <c r="D11" s="317"/>
      <c r="E11" s="315" t="s">
        <v>184</v>
      </c>
      <c r="F11" s="318" t="s">
        <v>315</v>
      </c>
      <c r="G11" s="318"/>
      <c r="H11" s="98"/>
      <c r="I11" s="313" t="s">
        <v>316</v>
      </c>
      <c r="J11" s="313"/>
      <c r="K11" s="315" t="s">
        <v>184</v>
      </c>
      <c r="L11" s="314" t="s">
        <v>317</v>
      </c>
      <c r="M11" s="314"/>
      <c r="N11" s="314"/>
      <c r="P11" s="145"/>
    </row>
    <row r="12" spans="2:16" x14ac:dyDescent="0.2">
      <c r="B12" s="93"/>
      <c r="C12" s="317"/>
      <c r="D12" s="317"/>
      <c r="E12" s="315"/>
      <c r="F12" s="318"/>
      <c r="G12" s="318"/>
      <c r="H12" s="98"/>
      <c r="I12" s="313"/>
      <c r="J12" s="313"/>
      <c r="K12" s="315"/>
      <c r="L12" s="314"/>
      <c r="M12" s="314"/>
      <c r="N12" s="314"/>
      <c r="P12" s="145"/>
    </row>
    <row r="13" spans="2:16" x14ac:dyDescent="0.2">
      <c r="B13" s="93"/>
      <c r="C13" s="351"/>
      <c r="D13" s="351"/>
      <c r="E13" s="319" t="s">
        <v>184</v>
      </c>
      <c r="F13" s="353" t="str">
        <f>IF(K29=Inputs_still_required,Inputs_still_required,TEXT(D27,"#,##0.0")&amp;" hours × £"&amp;TEXT(C21,"#,##0.00")&amp;" per hour")</f>
        <v>Inputs still required</v>
      </c>
      <c r="G13" s="353"/>
      <c r="I13" s="316"/>
      <c r="J13" s="316"/>
      <c r="K13" s="319" t="s">
        <v>184</v>
      </c>
      <c r="L13" s="320" t="str">
        <f>IF(K29=Inputs_still_required,Inputs_still_required,TEXT(F15,"£#,##0")&amp;" × "&amp;IF(D58=1,1,TEXT(D58,"#,##0.000")))</f>
        <v>Inputs still required</v>
      </c>
      <c r="M13" s="320"/>
      <c r="N13" s="320"/>
      <c r="P13" s="94"/>
    </row>
    <row r="14" spans="2:16" x14ac:dyDescent="0.2">
      <c r="B14" s="93"/>
      <c r="C14" s="285"/>
      <c r="D14" s="285"/>
      <c r="E14" s="319"/>
      <c r="F14" s="353"/>
      <c r="G14" s="353"/>
      <c r="I14" s="316"/>
      <c r="J14" s="316"/>
      <c r="K14" s="319"/>
      <c r="L14" s="320"/>
      <c r="M14" s="320"/>
      <c r="N14" s="320"/>
      <c r="P14" s="94"/>
    </row>
    <row r="15" spans="2:16" x14ac:dyDescent="0.2">
      <c r="B15" s="93"/>
      <c r="C15" s="352"/>
      <c r="D15" s="352"/>
      <c r="E15" s="155" t="s">
        <v>184</v>
      </c>
      <c r="F15" s="321" t="str">
        <f>IF(K29=Inputs_still_required,Inputs_still_required,(D27*C21))</f>
        <v>Inputs still required</v>
      </c>
      <c r="G15" s="321"/>
      <c r="I15" s="154"/>
      <c r="J15" s="154"/>
      <c r="K15" s="155" t="s">
        <v>184</v>
      </c>
      <c r="L15" s="321" t="str">
        <f>IF(K29=Inputs_still_required,Inputs_still_required,F15*D58)</f>
        <v>Inputs still required</v>
      </c>
      <c r="M15" s="321"/>
      <c r="N15" s="321"/>
      <c r="P15" s="94"/>
    </row>
    <row r="16" spans="2:16" x14ac:dyDescent="0.2">
      <c r="B16" s="93"/>
      <c r="P16" s="94"/>
    </row>
    <row r="17" spans="2:16" ht="16.5" x14ac:dyDescent="0.25">
      <c r="B17" s="90"/>
      <c r="C17" s="127" t="s">
        <v>318</v>
      </c>
      <c r="D17" s="127"/>
      <c r="E17" s="127"/>
      <c r="F17" s="127"/>
      <c r="G17" s="127"/>
      <c r="H17" s="127"/>
      <c r="I17" s="127"/>
      <c r="J17" s="127"/>
      <c r="K17" s="127"/>
      <c r="L17" s="127"/>
      <c r="M17" s="127"/>
      <c r="N17" s="127"/>
      <c r="O17" s="91"/>
      <c r="P17" s="92"/>
    </row>
    <row r="18" spans="2:16" x14ac:dyDescent="0.2">
      <c r="B18" s="93"/>
      <c r="P18" s="94"/>
    </row>
    <row r="19" spans="2:16" x14ac:dyDescent="0.2">
      <c r="B19" s="93"/>
      <c r="C19" s="119" t="s">
        <v>319</v>
      </c>
      <c r="D19" s="119"/>
      <c r="E19" s="119"/>
      <c r="F19" s="119"/>
      <c r="G19" s="119"/>
      <c r="H19" s="119"/>
      <c r="I19" s="119"/>
      <c r="J19" s="119"/>
      <c r="K19" s="119"/>
      <c r="L19" s="119"/>
      <c r="M19" s="119"/>
      <c r="N19" s="119"/>
      <c r="P19" s="94"/>
    </row>
    <row r="20" spans="2:16" x14ac:dyDescent="0.2">
      <c r="B20" s="93"/>
      <c r="P20" s="94"/>
    </row>
    <row r="21" spans="2:16" x14ac:dyDescent="0.2">
      <c r="B21" s="93"/>
      <c r="C21" s="177">
        <v>146</v>
      </c>
      <c r="D21" t="s">
        <v>320</v>
      </c>
      <c r="E21" s="219" t="s">
        <v>321</v>
      </c>
      <c r="F21" s="219"/>
      <c r="G21" s="219"/>
      <c r="H21" s="219"/>
      <c r="P21" s="94"/>
    </row>
    <row r="22" spans="2:16" x14ac:dyDescent="0.2">
      <c r="B22" s="93"/>
      <c r="P22" s="94"/>
    </row>
    <row r="23" spans="2:16" x14ac:dyDescent="0.2">
      <c r="B23" s="93"/>
      <c r="C23" s="119" t="s">
        <v>322</v>
      </c>
      <c r="D23" s="119"/>
      <c r="E23" s="119"/>
      <c r="F23" s="119"/>
      <c r="G23" s="119"/>
      <c r="H23" s="119"/>
      <c r="I23" s="119"/>
      <c r="J23" s="119"/>
      <c r="K23" s="119"/>
      <c r="L23" s="119"/>
      <c r="M23" s="119"/>
      <c r="N23" s="119"/>
      <c r="P23" s="94"/>
    </row>
    <row r="24" spans="2:16" x14ac:dyDescent="0.2">
      <c r="B24" s="93"/>
      <c r="P24" s="94"/>
    </row>
    <row r="25" spans="2:16" ht="12.75" customHeight="1" x14ac:dyDescent="0.2">
      <c r="B25" s="93"/>
      <c r="C25" s="141" t="s">
        <v>184</v>
      </c>
      <c r="D25" s="287" t="s">
        <v>323</v>
      </c>
      <c r="E25" s="287"/>
      <c r="F25" s="287"/>
      <c r="G25" s="287"/>
      <c r="H25" s="308" t="s">
        <v>324</v>
      </c>
      <c r="I25" s="308"/>
      <c r="J25" s="308"/>
      <c r="K25" s="308"/>
      <c r="P25" s="94"/>
    </row>
    <row r="26" spans="2:16" x14ac:dyDescent="0.2">
      <c r="B26" s="93"/>
      <c r="C26" s="142" t="s">
        <v>184</v>
      </c>
      <c r="D26" s="347" t="str">
        <f>IF(K29=Inputs_still_required,Inputs_still_required,K29&amp;" + ("&amp;K30&amp;" × 1.5) + ("&amp;K31&amp;" × 1.5) + ("&amp;K32&amp;" × 4)")</f>
        <v>Inputs still required</v>
      </c>
      <c r="E26" s="347"/>
      <c r="F26" s="347"/>
      <c r="G26" s="347"/>
      <c r="H26" s="308"/>
      <c r="I26" s="308"/>
      <c r="J26" s="308"/>
      <c r="K26" s="308"/>
      <c r="P26" s="94"/>
    </row>
    <row r="27" spans="2:16" x14ac:dyDescent="0.2">
      <c r="B27" s="93"/>
      <c r="C27" s="144" t="s">
        <v>184</v>
      </c>
      <c r="D27" s="286" t="str">
        <f>IF(D26=Inputs_still_required,Inputs_still_required,K29+(K30*1.5)+(K31*1.5)+(K32*4))</f>
        <v>Inputs still required</v>
      </c>
      <c r="E27" s="286"/>
      <c r="F27" s="286"/>
      <c r="G27" s="286"/>
      <c r="H27" s="308"/>
      <c r="I27" s="308"/>
      <c r="J27" s="308"/>
      <c r="K27" s="308"/>
      <c r="P27" s="94"/>
    </row>
    <row r="28" spans="2:16" ht="13.5" thickBot="1" x14ac:dyDescent="0.25">
      <c r="B28" s="93"/>
      <c r="P28" s="94"/>
    </row>
    <row r="29" spans="2:16" x14ac:dyDescent="0.2">
      <c r="B29" s="93"/>
      <c r="C29" s="66" t="s">
        <v>26</v>
      </c>
      <c r="D29" s="289" t="s">
        <v>325</v>
      </c>
      <c r="E29" s="289"/>
      <c r="F29" s="289"/>
      <c r="G29" s="289"/>
      <c r="H29" s="289"/>
      <c r="I29" s="289"/>
      <c r="J29" s="289"/>
      <c r="K29" s="348" t="str">
        <f>IF('Lookup Development Size'!C2=Inputs_still_required,Inputs_still_required,VLOOKUP('Lookup Development Size'!C2,C41:L51,9,0))</f>
        <v>Inputs still required</v>
      </c>
      <c r="L29" s="348"/>
      <c r="P29" s="94"/>
    </row>
    <row r="30" spans="2:16" x14ac:dyDescent="0.2">
      <c r="B30" s="93"/>
      <c r="C30" s="65" t="s">
        <v>29</v>
      </c>
      <c r="D30" s="244" t="s">
        <v>326</v>
      </c>
      <c r="E30" s="244"/>
      <c r="F30" s="244"/>
      <c r="G30" s="244"/>
      <c r="H30" s="244"/>
      <c r="I30" s="244"/>
      <c r="J30" s="244"/>
      <c r="K30" s="349">
        <v>0</v>
      </c>
      <c r="L30" s="349"/>
      <c r="P30" s="94"/>
    </row>
    <row r="31" spans="2:16" x14ac:dyDescent="0.2">
      <c r="B31" s="93"/>
      <c r="C31" s="65" t="s">
        <v>31</v>
      </c>
      <c r="D31" s="244" t="s">
        <v>327</v>
      </c>
      <c r="E31" s="244"/>
      <c r="F31" s="244"/>
      <c r="G31" s="244"/>
      <c r="H31" s="244"/>
      <c r="I31" s="244"/>
      <c r="J31" s="244"/>
      <c r="K31" s="349">
        <v>0</v>
      </c>
      <c r="L31" s="349"/>
      <c r="P31" s="94"/>
    </row>
    <row r="32" spans="2:16" ht="13.5" thickBot="1" x14ac:dyDescent="0.25">
      <c r="B32" s="93"/>
      <c r="C32" s="67" t="s">
        <v>35</v>
      </c>
      <c r="D32" s="269" t="s">
        <v>328</v>
      </c>
      <c r="E32" s="269"/>
      <c r="F32" s="269"/>
      <c r="G32" s="269"/>
      <c r="H32" s="269"/>
      <c r="I32" s="269"/>
      <c r="J32" s="269"/>
      <c r="K32" s="350">
        <v>0</v>
      </c>
      <c r="L32" s="350"/>
      <c r="P32" s="94"/>
    </row>
    <row r="33" spans="2:17" x14ac:dyDescent="0.2">
      <c r="B33" s="93"/>
      <c r="C33" s="64"/>
      <c r="P33" s="94"/>
    </row>
    <row r="34" spans="2:17" x14ac:dyDescent="0.2">
      <c r="B34" s="93"/>
      <c r="C34" s="156" t="s">
        <v>329</v>
      </c>
      <c r="P34" s="94"/>
    </row>
    <row r="35" spans="2:17" ht="13.5" thickBot="1" x14ac:dyDescent="0.25">
      <c r="B35" s="93"/>
      <c r="P35" s="94"/>
    </row>
    <row r="36" spans="2:17" ht="12.75" customHeight="1" thickBot="1" x14ac:dyDescent="0.25">
      <c r="B36" s="93"/>
      <c r="C36" s="327" t="s">
        <v>330</v>
      </c>
      <c r="D36" s="327"/>
      <c r="E36" s="327"/>
      <c r="F36" s="328"/>
      <c r="G36" s="326" t="s">
        <v>331</v>
      </c>
      <c r="H36" s="326"/>
      <c r="I36" s="326" t="s">
        <v>332</v>
      </c>
      <c r="J36" s="326"/>
      <c r="K36" s="326" t="s">
        <v>333</v>
      </c>
      <c r="L36" s="326"/>
      <c r="N36" s="240" t="s">
        <v>334</v>
      </c>
      <c r="O36" s="240"/>
      <c r="P36" s="94"/>
    </row>
    <row r="37" spans="2:17" ht="13.5" customHeight="1" thickBot="1" x14ac:dyDescent="0.25">
      <c r="B37" s="93"/>
      <c r="C37" s="327"/>
      <c r="D37" s="327"/>
      <c r="E37" s="327"/>
      <c r="F37" s="328"/>
      <c r="G37" s="326"/>
      <c r="H37" s="326"/>
      <c r="I37" s="326"/>
      <c r="J37" s="326"/>
      <c r="K37" s="326"/>
      <c r="L37" s="326"/>
      <c r="M37" s="121"/>
      <c r="N37" s="240"/>
      <c r="O37" s="240"/>
      <c r="P37" s="94"/>
    </row>
    <row r="38" spans="2:17" ht="13.5" customHeight="1" thickBot="1" x14ac:dyDescent="0.25">
      <c r="B38" s="93"/>
      <c r="C38" s="327"/>
      <c r="D38" s="327"/>
      <c r="E38" s="327"/>
      <c r="F38" s="328"/>
      <c r="G38" s="326"/>
      <c r="H38" s="326"/>
      <c r="I38" s="326"/>
      <c r="J38" s="326"/>
      <c r="K38" s="326"/>
      <c r="L38" s="326"/>
      <c r="M38" s="121"/>
      <c r="N38" s="240"/>
      <c r="O38" s="240"/>
      <c r="P38" s="157"/>
      <c r="Q38" s="1"/>
    </row>
    <row r="39" spans="2:17" ht="13.5" customHeight="1" thickBot="1" x14ac:dyDescent="0.25">
      <c r="B39" s="93"/>
      <c r="C39" s="327" t="s">
        <v>335</v>
      </c>
      <c r="D39" s="327"/>
      <c r="E39" s="327" t="s">
        <v>336</v>
      </c>
      <c r="F39" s="328"/>
      <c r="G39" s="331"/>
      <c r="H39" s="331"/>
      <c r="I39" s="331"/>
      <c r="J39" s="331"/>
      <c r="K39" s="331"/>
      <c r="L39" s="331"/>
      <c r="M39" s="121"/>
      <c r="N39" s="240"/>
      <c r="O39" s="240"/>
      <c r="P39" s="157"/>
      <c r="Q39" s="1"/>
    </row>
    <row r="40" spans="2:17" ht="12.75" customHeight="1" x14ac:dyDescent="0.2">
      <c r="B40" s="93"/>
      <c r="C40" s="329"/>
      <c r="D40" s="329"/>
      <c r="E40" s="329"/>
      <c r="F40" s="330"/>
      <c r="G40" s="332"/>
      <c r="H40" s="332"/>
      <c r="I40" s="332"/>
      <c r="J40" s="332"/>
      <c r="K40" s="332"/>
      <c r="L40" s="332"/>
      <c r="M40" s="121"/>
      <c r="N40" s="240"/>
      <c r="O40" s="240"/>
      <c r="P40" s="157"/>
      <c r="Q40" s="1"/>
    </row>
    <row r="41" spans="2:17" x14ac:dyDescent="0.2">
      <c r="B41" s="93"/>
      <c r="C41" s="311" t="s">
        <v>337</v>
      </c>
      <c r="D41" s="311"/>
      <c r="E41" s="311" t="s">
        <v>338</v>
      </c>
      <c r="F41" s="335"/>
      <c r="G41" s="309">
        <v>1</v>
      </c>
      <c r="H41" s="309"/>
      <c r="I41" s="309">
        <v>2.5</v>
      </c>
      <c r="J41" s="309"/>
      <c r="K41" s="309">
        <f t="shared" ref="K41:K46" si="0">G41*I41</f>
        <v>2.5</v>
      </c>
      <c r="L41" s="309"/>
      <c r="M41" s="121"/>
      <c r="N41" s="240"/>
      <c r="O41" s="240"/>
      <c r="P41" s="157"/>
      <c r="Q41" s="1"/>
    </row>
    <row r="42" spans="2:17" x14ac:dyDescent="0.2">
      <c r="B42" s="93"/>
      <c r="C42" s="309" t="s">
        <v>339</v>
      </c>
      <c r="D42" s="309"/>
      <c r="E42" s="309" t="s">
        <v>340</v>
      </c>
      <c r="F42" s="312"/>
      <c r="G42" s="309">
        <v>1.5</v>
      </c>
      <c r="H42" s="309"/>
      <c r="I42" s="309">
        <v>10</v>
      </c>
      <c r="J42" s="309"/>
      <c r="K42" s="309">
        <f t="shared" si="0"/>
        <v>15</v>
      </c>
      <c r="L42" s="309"/>
      <c r="M42" s="121"/>
      <c r="N42" s="240"/>
      <c r="O42" s="240"/>
      <c r="P42" s="157"/>
      <c r="Q42" s="1"/>
    </row>
    <row r="43" spans="2:17" x14ac:dyDescent="0.2">
      <c r="B43" s="93"/>
      <c r="C43" s="309" t="s">
        <v>341</v>
      </c>
      <c r="D43" s="309"/>
      <c r="E43" s="309" t="s">
        <v>342</v>
      </c>
      <c r="F43" s="312"/>
      <c r="G43" s="309">
        <v>2</v>
      </c>
      <c r="H43" s="309"/>
      <c r="I43" s="309">
        <v>12.5</v>
      </c>
      <c r="J43" s="309"/>
      <c r="K43" s="309">
        <f t="shared" si="0"/>
        <v>25</v>
      </c>
      <c r="L43" s="309"/>
      <c r="M43" s="121"/>
      <c r="N43" s="240"/>
      <c r="O43" s="240"/>
      <c r="P43" s="157"/>
      <c r="Q43" s="1"/>
    </row>
    <row r="44" spans="2:17" x14ac:dyDescent="0.2">
      <c r="B44" s="93"/>
      <c r="C44" s="309" t="s">
        <v>343</v>
      </c>
      <c r="D44" s="309"/>
      <c r="E44" s="309" t="s">
        <v>344</v>
      </c>
      <c r="F44" s="312"/>
      <c r="G44" s="309">
        <v>3</v>
      </c>
      <c r="H44" s="309"/>
      <c r="I44" s="309">
        <v>15</v>
      </c>
      <c r="J44" s="309"/>
      <c r="K44" s="309">
        <f t="shared" si="0"/>
        <v>45</v>
      </c>
      <c r="L44" s="309"/>
      <c r="M44" s="121"/>
      <c r="N44" s="240"/>
      <c r="O44" s="240"/>
      <c r="P44" s="157"/>
      <c r="Q44" s="1"/>
    </row>
    <row r="45" spans="2:17" x14ac:dyDescent="0.2">
      <c r="B45" s="93"/>
      <c r="C45" s="309" t="s">
        <v>345</v>
      </c>
      <c r="D45" s="309"/>
      <c r="E45" s="309" t="s">
        <v>346</v>
      </c>
      <c r="F45" s="312"/>
      <c r="G45" s="309">
        <v>4</v>
      </c>
      <c r="H45" s="309"/>
      <c r="I45" s="309">
        <v>20</v>
      </c>
      <c r="J45" s="309"/>
      <c r="K45" s="309">
        <f t="shared" si="0"/>
        <v>80</v>
      </c>
      <c r="L45" s="309"/>
      <c r="M45" s="121"/>
      <c r="N45" s="240"/>
      <c r="O45" s="240"/>
      <c r="P45" s="94"/>
    </row>
    <row r="46" spans="2:17" ht="13.5" thickBot="1" x14ac:dyDescent="0.25">
      <c r="B46" s="93"/>
      <c r="C46" s="310" t="s">
        <v>347</v>
      </c>
      <c r="D46" s="310"/>
      <c r="E46" s="310" t="s">
        <v>348</v>
      </c>
      <c r="F46" s="336"/>
      <c r="G46" s="310">
        <v>5</v>
      </c>
      <c r="H46" s="310"/>
      <c r="I46" s="310">
        <v>30</v>
      </c>
      <c r="J46" s="310"/>
      <c r="K46" s="310">
        <f t="shared" si="0"/>
        <v>150</v>
      </c>
      <c r="L46" s="310"/>
      <c r="M46" s="121"/>
      <c r="N46" s="240"/>
      <c r="O46" s="240"/>
      <c r="P46" s="94"/>
    </row>
    <row r="47" spans="2:17" ht="13.5" thickBot="1" x14ac:dyDescent="0.25">
      <c r="B47" s="93"/>
      <c r="C47" s="333" t="s">
        <v>349</v>
      </c>
      <c r="D47" s="327"/>
      <c r="E47" s="327" t="s">
        <v>350</v>
      </c>
      <c r="F47" s="328"/>
      <c r="G47" s="334"/>
      <c r="H47" s="334"/>
      <c r="I47" s="334"/>
      <c r="J47" s="334"/>
      <c r="K47" s="334"/>
      <c r="L47" s="334"/>
      <c r="M47" s="121"/>
      <c r="N47" s="240"/>
      <c r="O47" s="240"/>
      <c r="P47" s="94"/>
    </row>
    <row r="48" spans="2:17" ht="12.75" customHeight="1" x14ac:dyDescent="0.2">
      <c r="B48" s="93"/>
      <c r="C48" s="329"/>
      <c r="D48" s="329"/>
      <c r="E48" s="329"/>
      <c r="F48" s="330"/>
      <c r="G48" s="311"/>
      <c r="H48" s="311"/>
      <c r="I48" s="311"/>
      <c r="J48" s="311"/>
      <c r="K48" s="311"/>
      <c r="L48" s="311"/>
      <c r="M48" s="121"/>
      <c r="N48" s="240"/>
      <c r="O48" s="240"/>
      <c r="P48" s="94"/>
    </row>
    <row r="49" spans="2:18" ht="12.75" customHeight="1" x14ac:dyDescent="0.2">
      <c r="B49" s="93"/>
      <c r="C49" s="311" t="s">
        <v>351</v>
      </c>
      <c r="D49" s="311"/>
      <c r="E49" s="311" t="s">
        <v>352</v>
      </c>
      <c r="F49" s="335"/>
      <c r="G49" s="309">
        <v>1</v>
      </c>
      <c r="H49" s="309"/>
      <c r="I49" s="309">
        <v>5</v>
      </c>
      <c r="J49" s="309"/>
      <c r="K49" s="309">
        <f t="shared" ref="K49:K51" si="1">G49*I49</f>
        <v>5</v>
      </c>
      <c r="L49" s="309"/>
      <c r="M49" s="121"/>
      <c r="N49" s="240"/>
      <c r="O49" s="240"/>
      <c r="P49" s="94"/>
      <c r="R49" s="10"/>
    </row>
    <row r="50" spans="2:18" x14ac:dyDescent="0.2">
      <c r="B50" s="93"/>
      <c r="C50" s="309" t="s">
        <v>353</v>
      </c>
      <c r="D50" s="309"/>
      <c r="E50" s="309" t="s">
        <v>354</v>
      </c>
      <c r="F50" s="312"/>
      <c r="G50" s="309">
        <v>2</v>
      </c>
      <c r="H50" s="309"/>
      <c r="I50" s="309">
        <v>10</v>
      </c>
      <c r="J50" s="309"/>
      <c r="K50" s="309">
        <f t="shared" si="1"/>
        <v>20</v>
      </c>
      <c r="L50" s="309"/>
      <c r="M50" s="121"/>
      <c r="N50" s="240"/>
      <c r="O50" s="240"/>
      <c r="P50" s="94"/>
      <c r="R50" s="10"/>
    </row>
    <row r="51" spans="2:18" ht="13.5" thickBot="1" x14ac:dyDescent="0.25">
      <c r="B51" s="93"/>
      <c r="C51" s="310" t="s">
        <v>355</v>
      </c>
      <c r="D51" s="310"/>
      <c r="E51" s="310" t="s">
        <v>356</v>
      </c>
      <c r="F51" s="336"/>
      <c r="G51" s="310">
        <v>3</v>
      </c>
      <c r="H51" s="310"/>
      <c r="I51" s="310">
        <v>15</v>
      </c>
      <c r="J51" s="310"/>
      <c r="K51" s="310">
        <f t="shared" si="1"/>
        <v>45</v>
      </c>
      <c r="L51" s="310"/>
      <c r="M51" s="121"/>
      <c r="N51" s="240"/>
      <c r="O51" s="240"/>
      <c r="P51" s="94"/>
    </row>
    <row r="52" spans="2:18" x14ac:dyDescent="0.2">
      <c r="B52" s="93"/>
      <c r="M52" s="235"/>
      <c r="N52" s="235"/>
      <c r="P52" s="94"/>
    </row>
    <row r="53" spans="2:18" x14ac:dyDescent="0.2">
      <c r="B53" s="93"/>
      <c r="C53" s="119" t="s">
        <v>357</v>
      </c>
      <c r="M53" s="235"/>
      <c r="N53" s="235"/>
      <c r="P53" s="94"/>
    </row>
    <row r="54" spans="2:18" x14ac:dyDescent="0.2">
      <c r="B54" s="93"/>
      <c r="M54" s="235"/>
      <c r="N54" s="235"/>
      <c r="P54" s="94"/>
    </row>
    <row r="55" spans="2:18" x14ac:dyDescent="0.2">
      <c r="B55" s="93"/>
      <c r="C55" s="141" t="s">
        <v>184</v>
      </c>
      <c r="D55" s="284" t="s">
        <v>358</v>
      </c>
      <c r="E55" s="284"/>
      <c r="F55" s="284"/>
      <c r="M55" s="235"/>
      <c r="N55" s="235"/>
      <c r="P55" s="94"/>
    </row>
    <row r="56" spans="2:18" x14ac:dyDescent="0.2">
      <c r="B56" s="93"/>
      <c r="C56" s="142" t="s">
        <v>184</v>
      </c>
      <c r="D56" s="285" t="str">
        <f>"the greater of 1 and ("&amp;H60&amp;" / "&amp;H62&amp;")"</f>
        <v>the greater of 1 and (1 / 1)</v>
      </c>
      <c r="E56" s="285"/>
      <c r="F56" s="285"/>
      <c r="M56" s="235"/>
      <c r="N56" s="235"/>
      <c r="P56" s="94"/>
    </row>
    <row r="57" spans="2:18" x14ac:dyDescent="0.2">
      <c r="B57" s="93"/>
      <c r="C57" s="142" t="s">
        <v>184</v>
      </c>
      <c r="D57" s="347" t="str">
        <f>"the greater of 1 and "&amp;TEXT(H60/H62,"#,##0.000")</f>
        <v>the greater of 1 and 1.000</v>
      </c>
      <c r="E57" s="347"/>
      <c r="F57" s="347"/>
      <c r="M57" s="235"/>
      <c r="N57" s="235"/>
      <c r="P57" s="94"/>
    </row>
    <row r="58" spans="2:18" x14ac:dyDescent="0.2">
      <c r="B58" s="93"/>
      <c r="C58" s="144" t="s">
        <v>184</v>
      </c>
      <c r="D58" s="346">
        <f>IF(H60/H62&gt;1,TEXT(H60/H62,"#,##0.000"),1)</f>
        <v>1</v>
      </c>
      <c r="E58" s="346"/>
      <c r="F58" s="346"/>
      <c r="M58" s="235"/>
      <c r="N58" s="235"/>
      <c r="P58" s="94"/>
    </row>
    <row r="59" spans="2:18" ht="13.5" thickBot="1" x14ac:dyDescent="0.25">
      <c r="B59" s="93"/>
      <c r="P59" s="94"/>
    </row>
    <row r="60" spans="2:18" ht="12.75" customHeight="1" x14ac:dyDescent="0.2">
      <c r="B60" s="93"/>
      <c r="C60" s="322" t="s">
        <v>37</v>
      </c>
      <c r="D60" s="323" t="s">
        <v>359</v>
      </c>
      <c r="E60" s="323"/>
      <c r="F60" s="323"/>
      <c r="G60" s="323"/>
      <c r="H60" s="344">
        <v>1</v>
      </c>
      <c r="I60" s="345" t="s">
        <v>360</v>
      </c>
      <c r="J60" s="337"/>
      <c r="K60" s="337"/>
      <c r="L60" s="240" t="s">
        <v>361</v>
      </c>
      <c r="M60" s="240"/>
      <c r="N60" s="121"/>
      <c r="P60" s="94"/>
    </row>
    <row r="61" spans="2:18" x14ac:dyDescent="0.2">
      <c r="B61" s="93"/>
      <c r="C61" s="246"/>
      <c r="D61" s="324"/>
      <c r="E61" s="324"/>
      <c r="F61" s="324"/>
      <c r="G61" s="324"/>
      <c r="H61" s="342"/>
      <c r="I61" s="340"/>
      <c r="J61" s="338"/>
      <c r="K61" s="338"/>
      <c r="L61" s="240"/>
      <c r="M61" s="240"/>
      <c r="N61" s="121"/>
      <c r="P61" s="94"/>
    </row>
    <row r="62" spans="2:18" x14ac:dyDescent="0.2">
      <c r="B62" s="93"/>
      <c r="C62" s="246" t="s">
        <v>39</v>
      </c>
      <c r="D62" s="207" t="s">
        <v>362</v>
      </c>
      <c r="E62" s="207"/>
      <c r="F62" s="207"/>
      <c r="G62" s="207"/>
      <c r="H62" s="342">
        <v>1</v>
      </c>
      <c r="I62" s="340" t="s">
        <v>360</v>
      </c>
      <c r="J62" s="338"/>
      <c r="K62" s="338"/>
      <c r="L62" s="240"/>
      <c r="M62" s="240"/>
      <c r="P62" s="94"/>
    </row>
    <row r="63" spans="2:18" ht="13.5" thickBot="1" x14ac:dyDescent="0.25">
      <c r="B63" s="93"/>
      <c r="C63" s="325"/>
      <c r="D63" s="209"/>
      <c r="E63" s="209"/>
      <c r="F63" s="209"/>
      <c r="G63" s="209"/>
      <c r="H63" s="343"/>
      <c r="I63" s="341"/>
      <c r="J63" s="339"/>
      <c r="K63" s="339"/>
      <c r="L63" s="240"/>
      <c r="M63" s="240"/>
      <c r="P63" s="94"/>
    </row>
    <row r="64" spans="2:18" x14ac:dyDescent="0.2">
      <c r="B64" s="101"/>
      <c r="C64" s="102"/>
      <c r="D64" s="102"/>
      <c r="E64" s="102"/>
      <c r="F64" s="102"/>
      <c r="G64" s="102"/>
      <c r="H64" s="102"/>
      <c r="I64" s="102"/>
      <c r="J64" s="102"/>
      <c r="K64" s="102"/>
      <c r="L64" s="102"/>
      <c r="M64" s="102"/>
      <c r="N64" s="102"/>
      <c r="O64" s="102"/>
      <c r="P64" s="103"/>
    </row>
    <row r="66" spans="3:3" x14ac:dyDescent="0.2">
      <c r="C66" s="63" t="s">
        <v>179</v>
      </c>
    </row>
  </sheetData>
  <sheetProtection algorithmName="SHA-512" hashValue="EwlKvQJBg4laAfgAAPdsBOMgCN5ldtUs4ZyH6xZso48mxCAwVLg1EPRmx2rTcwOHc53trVNbbU+1j311jP+viw==" saltValue="rtw7Fl3ts5+jnc1B2+sKAA==" spinCount="100000" sheet="1" selectLockedCells="1"/>
  <mergeCells count="113">
    <mergeCell ref="F15:G15"/>
    <mergeCell ref="C13:D13"/>
    <mergeCell ref="C14:D14"/>
    <mergeCell ref="C15:D15"/>
    <mergeCell ref="D25:G25"/>
    <mergeCell ref="F13:G14"/>
    <mergeCell ref="C43:D43"/>
    <mergeCell ref="C44:D44"/>
    <mergeCell ref="C51:D51"/>
    <mergeCell ref="E49:F49"/>
    <mergeCell ref="E43:F43"/>
    <mergeCell ref="E51:F51"/>
    <mergeCell ref="E44:F44"/>
    <mergeCell ref="G45:H45"/>
    <mergeCell ref="G49:H49"/>
    <mergeCell ref="K43:L43"/>
    <mergeCell ref="K44:L44"/>
    <mergeCell ref="K45:L45"/>
    <mergeCell ref="D58:F58"/>
    <mergeCell ref="D26:G26"/>
    <mergeCell ref="D27:G27"/>
    <mergeCell ref="D55:F55"/>
    <mergeCell ref="D56:F56"/>
    <mergeCell ref="D57:F57"/>
    <mergeCell ref="K29:L29"/>
    <mergeCell ref="K30:L30"/>
    <mergeCell ref="K31:L31"/>
    <mergeCell ref="K32:L32"/>
    <mergeCell ref="J60:K61"/>
    <mergeCell ref="J62:K63"/>
    <mergeCell ref="I62:I63"/>
    <mergeCell ref="H62:H63"/>
    <mergeCell ref="L60:M63"/>
    <mergeCell ref="I51:J51"/>
    <mergeCell ref="K49:L49"/>
    <mergeCell ref="K46:L46"/>
    <mergeCell ref="H60:H61"/>
    <mergeCell ref="I60:I61"/>
    <mergeCell ref="G50:H50"/>
    <mergeCell ref="G46:H46"/>
    <mergeCell ref="G51:H51"/>
    <mergeCell ref="C60:C61"/>
    <mergeCell ref="D60:G61"/>
    <mergeCell ref="D62:G63"/>
    <mergeCell ref="C62:C63"/>
    <mergeCell ref="G36:H38"/>
    <mergeCell ref="I36:J38"/>
    <mergeCell ref="K36:L38"/>
    <mergeCell ref="C36:F38"/>
    <mergeCell ref="C39:D40"/>
    <mergeCell ref="E39:F40"/>
    <mergeCell ref="G39:H40"/>
    <mergeCell ref="I39:J40"/>
    <mergeCell ref="K39:L40"/>
    <mergeCell ref="C47:D48"/>
    <mergeCell ref="E47:F48"/>
    <mergeCell ref="G47:H48"/>
    <mergeCell ref="I47:J48"/>
    <mergeCell ref="K47:L48"/>
    <mergeCell ref="E42:F42"/>
    <mergeCell ref="E41:F41"/>
    <mergeCell ref="E46:F46"/>
    <mergeCell ref="E45:F45"/>
    <mergeCell ref="K51:L51"/>
    <mergeCell ref="K50:L50"/>
    <mergeCell ref="I11:J12"/>
    <mergeCell ref="L11:N12"/>
    <mergeCell ref="K11:K12"/>
    <mergeCell ref="I13:J14"/>
    <mergeCell ref="C11:D12"/>
    <mergeCell ref="E11:E12"/>
    <mergeCell ref="F11:G12"/>
    <mergeCell ref="E13:E14"/>
    <mergeCell ref="I42:J42"/>
    <mergeCell ref="I41:J41"/>
    <mergeCell ref="C41:D41"/>
    <mergeCell ref="C42:D42"/>
    <mergeCell ref="K41:L41"/>
    <mergeCell ref="K42:L42"/>
    <mergeCell ref="G42:H42"/>
    <mergeCell ref="G41:H41"/>
    <mergeCell ref="N36:O51"/>
    <mergeCell ref="L13:N14"/>
    <mergeCell ref="K13:K14"/>
    <mergeCell ref="L15:N15"/>
    <mergeCell ref="I43:J43"/>
    <mergeCell ref="E21:H21"/>
    <mergeCell ref="I45:J45"/>
    <mergeCell ref="G44:H44"/>
    <mergeCell ref="E7:H7"/>
    <mergeCell ref="H25:K27"/>
    <mergeCell ref="C5:N5"/>
    <mergeCell ref="D29:J29"/>
    <mergeCell ref="D30:J30"/>
    <mergeCell ref="D31:J31"/>
    <mergeCell ref="D32:J32"/>
    <mergeCell ref="M58:N58"/>
    <mergeCell ref="G43:H43"/>
    <mergeCell ref="M56:N56"/>
    <mergeCell ref="M57:N57"/>
    <mergeCell ref="M52:N52"/>
    <mergeCell ref="M53:N53"/>
    <mergeCell ref="M54:N54"/>
    <mergeCell ref="M55:N55"/>
    <mergeCell ref="C46:D46"/>
    <mergeCell ref="C49:D49"/>
    <mergeCell ref="C50:D50"/>
    <mergeCell ref="E50:F50"/>
    <mergeCell ref="I44:J44"/>
    <mergeCell ref="I46:J46"/>
    <mergeCell ref="I49:J49"/>
    <mergeCell ref="I50:J50"/>
    <mergeCell ref="C45:D45"/>
  </mergeCells>
  <dataValidations count="5">
    <dataValidation type="decimal" operator="greaterThanOrEqual" allowBlank="1" showInputMessage="1" showErrorMessage="1" error="Must be a number, 0 or greater" sqref="C21" xr:uid="{00000000-0002-0000-0E00-000000000000}">
      <formula1>0</formula1>
    </dataValidation>
    <dataValidation type="whole" operator="greaterThanOrEqual" allowBlank="1" showInputMessage="1" showErrorMessage="1" error="Number of obligations must be a number, 0 or greater" sqref="K30:K31" xr:uid="{00000000-0002-0000-0E00-000001000000}">
      <formula1>0</formula1>
    </dataValidation>
    <dataValidation type="whole" operator="greaterThanOrEqual" allowBlank="1" showInputMessage="1" showErrorMessage="1" error="Number of demand notices must be a number, 0 or greater" sqref="K32:K34" xr:uid="{00000000-0002-0000-0E00-000002000000}">
      <formula1>0</formula1>
    </dataValidation>
    <dataValidation type="whole" operator="greaterThanOrEqual" showInputMessage="1" showErrorMessage="1" error="BCIS Index must be a whole number greater than 0" sqref="H60:H63" xr:uid="{74010D5B-6643-4286-92ED-B09DB838CA97}">
      <formula1>1</formula1>
    </dataValidation>
    <dataValidation operator="greaterThanOrEqual" showInputMessage="1" showErrorMessage="1" error="Must be a date" sqref="J60:K63" xr:uid="{83EC2444-6FF8-46DC-833E-76F89117DC7D}"/>
  </dataValidations>
  <hyperlinks>
    <hyperlink ref="E21" r:id="rId1" display="Set annually by Wandsworth Council. In 2017/18 it was £113 per hour." xr:uid="{00000000-0004-0000-0E00-000000000000}"/>
  </hyperlinks>
  <pageMargins left="0.39370078740157483" right="0.39370078740157483" top="0.39370078740157483" bottom="0.39370078740157483" header="0.19685039370078741" footer="0.19685039370078741"/>
  <pageSetup paperSize="9" orientation="landscape" r:id="rId2"/>
  <headerFooter>
    <oddHeader>&amp;L&amp;"Calibri"&amp;10&amp;K000000Official&amp;1#_x000D_&amp;"Calibri"&amp;11&amp;K000000&amp;9&amp;F</oddHeader>
    <oddFooter>&amp;R&amp;9Page &amp;P of &amp;N</oddFooter>
  </headerFooter>
  <rowBreaks count="1" manualBreakCount="1">
    <brk id="33" min="1" max="15" man="1"/>
  </rowBreaks>
  <extLst>
    <ext xmlns:x14="http://schemas.microsoft.com/office/spreadsheetml/2009/9/main" uri="{78C0D931-6437-407d-A8EE-F0AAD7539E65}">
      <x14:conditionalFormattings>
        <x14:conditionalFormatting xmlns:xm="http://schemas.microsoft.com/office/excel/2006/main">
          <x14:cfRule type="expression" priority="1" id="{5E15E396-C2EC-4586-9720-A01ABDE891E0}">
            <xm:f>$C41='Lookup Development Size'!$C$2</xm:f>
            <x14:dxf>
              <font>
                <b val="0"/>
                <i val="0"/>
                <color theme="0"/>
              </font>
              <fill>
                <patternFill>
                  <bgColor theme="0" tint="-0.499984740745262"/>
                </patternFill>
              </fill>
            </x14:dxf>
          </x14:cfRule>
          <xm:sqref>C41:L46 C49:L51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B2:Q51"/>
  <sheetViews>
    <sheetView workbookViewId="0">
      <selection activeCell="I25" sqref="I25:J25"/>
    </sheetView>
  </sheetViews>
  <sheetFormatPr defaultRowHeight="12.75" x14ac:dyDescent="0.2"/>
  <cols>
    <col min="1" max="2" width="2.7109375" customWidth="1"/>
    <col min="9" max="10" width="9.140625" style="69"/>
    <col min="17" max="17" width="2.7109375" customWidth="1"/>
  </cols>
  <sheetData>
    <row r="2" spans="2:17" x14ac:dyDescent="0.2">
      <c r="B2" s="90"/>
      <c r="C2" s="91"/>
      <c r="D2" s="91"/>
      <c r="E2" s="91"/>
      <c r="F2" s="91"/>
      <c r="G2" s="91"/>
      <c r="H2" s="91"/>
      <c r="I2" s="158"/>
      <c r="J2" s="158"/>
      <c r="K2" s="91"/>
      <c r="L2" s="91"/>
      <c r="M2" s="91"/>
      <c r="N2" s="91"/>
      <c r="O2" s="91"/>
      <c r="P2" s="91"/>
      <c r="Q2" s="92"/>
    </row>
    <row r="3" spans="2:17" ht="19.5" thickBot="1" x14ac:dyDescent="0.3">
      <c r="B3" s="95"/>
      <c r="C3" s="275" t="s">
        <v>67</v>
      </c>
      <c r="D3" s="275"/>
      <c r="E3" s="275"/>
      <c r="F3" s="275"/>
      <c r="G3" s="96"/>
      <c r="H3" s="96"/>
      <c r="I3" s="159"/>
      <c r="J3" s="159"/>
      <c r="K3" s="96"/>
      <c r="L3" s="96"/>
      <c r="M3" s="96"/>
      <c r="N3" s="96"/>
      <c r="O3" s="96"/>
      <c r="P3" s="96"/>
      <c r="Q3" s="97"/>
    </row>
    <row r="4" spans="2:17" ht="14.25" thickTop="1" thickBot="1" x14ac:dyDescent="0.25">
      <c r="B4" s="93"/>
      <c r="Q4" s="94"/>
    </row>
    <row r="5" spans="2:17" ht="12.75" customHeight="1" thickTop="1" thickBot="1" x14ac:dyDescent="0.25">
      <c r="B5" s="93"/>
      <c r="C5" s="375" t="s">
        <v>7</v>
      </c>
      <c r="D5" s="375"/>
      <c r="E5" s="375"/>
      <c r="F5" s="375"/>
      <c r="G5" s="375"/>
      <c r="H5" s="375"/>
      <c r="I5" s="399" t="s">
        <v>177</v>
      </c>
      <c r="J5" s="400"/>
      <c r="K5" s="381" t="s">
        <v>81</v>
      </c>
      <c r="L5" s="381"/>
      <c r="M5" s="381"/>
      <c r="N5" s="381"/>
      <c r="O5" s="381"/>
      <c r="P5" s="381"/>
      <c r="Q5" s="94"/>
    </row>
    <row r="6" spans="2:17" ht="13.5" thickBot="1" x14ac:dyDescent="0.25">
      <c r="B6" s="93"/>
      <c r="C6" s="376"/>
      <c r="D6" s="376"/>
      <c r="E6" s="376"/>
      <c r="F6" s="376"/>
      <c r="G6" s="376"/>
      <c r="H6" s="376"/>
      <c r="I6" s="401"/>
      <c r="J6" s="402"/>
      <c r="K6" s="382"/>
      <c r="L6" s="382"/>
      <c r="M6" s="382"/>
      <c r="N6" s="382"/>
      <c r="O6" s="382"/>
      <c r="P6" s="382"/>
      <c r="Q6" s="94"/>
    </row>
    <row r="7" spans="2:17" ht="13.5" thickTop="1" x14ac:dyDescent="0.2">
      <c r="B7" s="93"/>
      <c r="C7" s="189">
        <v>1</v>
      </c>
      <c r="D7" s="247" t="s">
        <v>363</v>
      </c>
      <c r="E7" s="247"/>
      <c r="F7" s="247"/>
      <c r="G7" s="247"/>
      <c r="H7" s="247"/>
      <c r="I7" s="354" t="s">
        <v>10</v>
      </c>
      <c r="J7" s="355"/>
      <c r="K7" s="388" t="str">
        <f>No_requirement_in_document</f>
        <v>-</v>
      </c>
      <c r="L7" s="389"/>
      <c r="M7" s="389"/>
      <c r="N7" s="389"/>
      <c r="O7" s="389"/>
      <c r="P7" s="389"/>
      <c r="Q7" s="94"/>
    </row>
    <row r="8" spans="2:17" ht="12.75" customHeight="1" x14ac:dyDescent="0.2">
      <c r="B8" s="93"/>
      <c r="C8" s="79" t="s">
        <v>11</v>
      </c>
      <c r="D8" s="368" t="s">
        <v>12</v>
      </c>
      <c r="E8" s="368"/>
      <c r="F8" s="368"/>
      <c r="G8" s="368"/>
      <c r="H8" s="368"/>
      <c r="I8" s="356" t="s">
        <v>364</v>
      </c>
      <c r="J8" s="357"/>
      <c r="K8" s="384" t="str">
        <f>Not_included_in_summary</f>
        <v>Refer to the Supplementary Planning Document</v>
      </c>
      <c r="L8" s="384"/>
      <c r="M8" s="384"/>
      <c r="N8" s="384"/>
      <c r="O8" s="384"/>
      <c r="P8" s="384"/>
      <c r="Q8" s="94"/>
    </row>
    <row r="9" spans="2:17" ht="12.75" customHeight="1" thickBot="1" x14ac:dyDescent="0.25">
      <c r="B9" s="93"/>
      <c r="C9" s="80" t="s">
        <v>14</v>
      </c>
      <c r="D9" s="369" t="s">
        <v>15</v>
      </c>
      <c r="E9" s="369"/>
      <c r="F9" s="369"/>
      <c r="G9" s="369"/>
      <c r="H9" s="369"/>
      <c r="I9" s="358" t="s">
        <v>364</v>
      </c>
      <c r="J9" s="359"/>
      <c r="K9" s="378" t="str">
        <f>Not_included_in_summary</f>
        <v>Refer to the Supplementary Planning Document</v>
      </c>
      <c r="L9" s="378"/>
      <c r="M9" s="378"/>
      <c r="N9" s="378"/>
      <c r="O9" s="378"/>
      <c r="P9" s="378"/>
      <c r="Q9" s="94"/>
    </row>
    <row r="10" spans="2:17" ht="12.75" customHeight="1" thickBot="1" x14ac:dyDescent="0.25">
      <c r="B10" s="93"/>
      <c r="C10" s="160">
        <v>2</v>
      </c>
      <c r="D10" s="370" t="s">
        <v>16</v>
      </c>
      <c r="E10" s="370"/>
      <c r="F10" s="370"/>
      <c r="G10" s="370"/>
      <c r="H10" s="370"/>
      <c r="I10" s="360" t="s">
        <v>10</v>
      </c>
      <c r="J10" s="361"/>
      <c r="K10" s="379" t="str">
        <f>No_requirement_in_document</f>
        <v>-</v>
      </c>
      <c r="L10" s="379"/>
      <c r="M10" s="379"/>
      <c r="N10" s="379"/>
      <c r="O10" s="379"/>
      <c r="P10" s="379"/>
      <c r="Q10" s="94"/>
    </row>
    <row r="11" spans="2:17" ht="12.75" customHeight="1" thickBot="1" x14ac:dyDescent="0.25">
      <c r="B11" s="93"/>
      <c r="C11" s="160">
        <v>3</v>
      </c>
      <c r="D11" s="370" t="s">
        <v>17</v>
      </c>
      <c r="E11" s="370"/>
      <c r="F11" s="370"/>
      <c r="G11" s="370"/>
      <c r="H11" s="370"/>
      <c r="I11" s="360" t="s">
        <v>10</v>
      </c>
      <c r="J11" s="361"/>
      <c r="K11" s="379" t="str">
        <f>No_requirement_in_document</f>
        <v>-</v>
      </c>
      <c r="L11" s="379"/>
      <c r="M11" s="379"/>
      <c r="N11" s="379"/>
      <c r="O11" s="379"/>
      <c r="P11" s="379"/>
      <c r="Q11" s="94"/>
    </row>
    <row r="12" spans="2:17" ht="12.75" customHeight="1" x14ac:dyDescent="0.2">
      <c r="B12" s="93"/>
      <c r="C12" s="81">
        <v>4</v>
      </c>
      <c r="D12" s="371" t="s">
        <v>365</v>
      </c>
      <c r="E12" s="371"/>
      <c r="F12" s="371"/>
      <c r="G12" s="371"/>
      <c r="H12" s="371"/>
      <c r="I12" s="362" t="s">
        <v>10</v>
      </c>
      <c r="J12" s="363"/>
      <c r="K12" s="385" t="str">
        <f>No_requirement_in_document</f>
        <v>-</v>
      </c>
      <c r="L12" s="385"/>
      <c r="M12" s="385"/>
      <c r="N12" s="385"/>
      <c r="O12" s="385"/>
      <c r="P12" s="385"/>
      <c r="Q12" s="94"/>
    </row>
    <row r="13" spans="2:17" ht="12.75" customHeight="1" x14ac:dyDescent="0.2">
      <c r="B13" s="93"/>
      <c r="C13" s="79" t="s">
        <v>20</v>
      </c>
      <c r="D13" s="393" t="s">
        <v>21</v>
      </c>
      <c r="E13" s="393"/>
      <c r="F13" s="393"/>
      <c r="G13" s="393"/>
      <c r="H13" s="393"/>
      <c r="I13" s="373" t="str">
        <f>K!C7</f>
        <v>Yes</v>
      </c>
      <c r="J13" s="374"/>
      <c r="K13" s="377" t="str">
        <f>K!F15</f>
        <v>Inputs still required</v>
      </c>
      <c r="L13" s="377"/>
      <c r="M13" s="377"/>
      <c r="N13" s="377"/>
      <c r="O13" s="377"/>
      <c r="P13" s="377"/>
      <c r="Q13" s="94"/>
    </row>
    <row r="14" spans="2:17" ht="12.75" customHeight="1" thickBot="1" x14ac:dyDescent="0.25">
      <c r="B14" s="93"/>
      <c r="C14" s="80" t="s">
        <v>366</v>
      </c>
      <c r="D14" s="372" t="s">
        <v>24</v>
      </c>
      <c r="E14" s="372"/>
      <c r="F14" s="372"/>
      <c r="G14" s="372"/>
      <c r="H14" s="372"/>
      <c r="I14" s="364" t="s">
        <v>364</v>
      </c>
      <c r="J14" s="365"/>
      <c r="K14" s="378" t="str">
        <f>Not_included_in_summary</f>
        <v>Refer to the Supplementary Planning Document</v>
      </c>
      <c r="L14" s="378"/>
      <c r="M14" s="378"/>
      <c r="N14" s="378"/>
      <c r="O14" s="378"/>
      <c r="P14" s="378"/>
      <c r="Q14" s="94"/>
    </row>
    <row r="15" spans="2:17" ht="25.5" customHeight="1" thickBot="1" x14ac:dyDescent="0.25">
      <c r="B15" s="93"/>
      <c r="C15" s="160">
        <v>5</v>
      </c>
      <c r="D15" s="403" t="s">
        <v>25</v>
      </c>
      <c r="E15" s="403"/>
      <c r="F15" s="403"/>
      <c r="G15" s="403"/>
      <c r="H15" s="403"/>
      <c r="I15" s="360" t="str">
        <f>A!C15</f>
        <v>No</v>
      </c>
      <c r="J15" s="361"/>
      <c r="K15" s="379" t="str">
        <f>IF(A!C20=No_requirement,No_requirement_in_document,A!C20)</f>
        <v>-</v>
      </c>
      <c r="L15" s="379"/>
      <c r="M15" s="379"/>
      <c r="N15" s="379"/>
      <c r="O15" s="379"/>
      <c r="P15" s="379"/>
      <c r="Q15" s="94"/>
    </row>
    <row r="16" spans="2:17" ht="25.5" customHeight="1" x14ac:dyDescent="0.2">
      <c r="B16" s="93"/>
      <c r="C16" s="81">
        <v>6</v>
      </c>
      <c r="D16" s="367" t="s">
        <v>27</v>
      </c>
      <c r="E16" s="367"/>
      <c r="F16" s="367"/>
      <c r="G16" s="367"/>
      <c r="H16" s="367"/>
      <c r="I16" s="362" t="s">
        <v>10</v>
      </c>
      <c r="J16" s="363"/>
      <c r="K16" s="385" t="str">
        <f>No_requirement_in_document</f>
        <v>-</v>
      </c>
      <c r="L16" s="385"/>
      <c r="M16" s="385"/>
      <c r="N16" s="385"/>
      <c r="O16" s="385"/>
      <c r="P16" s="385"/>
      <c r="Q16" s="94"/>
    </row>
    <row r="17" spans="2:17" ht="25.5" customHeight="1" x14ac:dyDescent="0.2">
      <c r="B17" s="93"/>
      <c r="C17" s="190" t="s">
        <v>367</v>
      </c>
      <c r="D17" s="393" t="s">
        <v>28</v>
      </c>
      <c r="E17" s="393"/>
      <c r="F17" s="393"/>
      <c r="G17" s="393"/>
      <c r="H17" s="393"/>
      <c r="I17" s="373" t="str">
        <f>B!C7</f>
        <v>No</v>
      </c>
      <c r="J17" s="374"/>
      <c r="K17" s="387" t="str">
        <f>No_requirement_in_document</f>
        <v>-</v>
      </c>
      <c r="L17" s="387"/>
      <c r="M17" s="387"/>
      <c r="N17" s="387"/>
      <c r="O17" s="387"/>
      <c r="P17" s="387"/>
      <c r="Q17" s="94"/>
    </row>
    <row r="18" spans="2:17" ht="12.75" customHeight="1" x14ac:dyDescent="0.2">
      <c r="B18" s="93"/>
      <c r="D18" s="366" t="s">
        <v>191</v>
      </c>
      <c r="E18" s="366"/>
      <c r="F18" s="366"/>
      <c r="G18" s="366"/>
      <c r="H18" s="366"/>
      <c r="I18" s="373" t="str">
        <f>I17</f>
        <v>No</v>
      </c>
      <c r="J18" s="374"/>
      <c r="K18" s="377" t="str">
        <f>IF(I17="No",No_requirement_in_document,B!G41)</f>
        <v>-</v>
      </c>
      <c r="L18" s="377"/>
      <c r="M18" s="377"/>
      <c r="N18" s="377"/>
      <c r="O18" s="377"/>
      <c r="P18" s="377"/>
      <c r="Q18" s="94"/>
    </row>
    <row r="19" spans="2:17" ht="12.75" customHeight="1" x14ac:dyDescent="0.2">
      <c r="B19" s="93"/>
      <c r="C19" s="199" t="s">
        <v>368</v>
      </c>
      <c r="D19" s="395" t="s">
        <v>30</v>
      </c>
      <c r="E19" s="395"/>
      <c r="F19" s="395"/>
      <c r="G19" s="395"/>
      <c r="H19" s="396"/>
      <c r="I19" s="373" t="str">
        <f>'C'!C7</f>
        <v>No</v>
      </c>
      <c r="J19" s="374"/>
      <c r="K19" s="391" t="str">
        <f>No_requirement_in_document</f>
        <v>-</v>
      </c>
      <c r="L19" s="377"/>
      <c r="M19" s="377"/>
      <c r="N19" s="377"/>
      <c r="O19" s="377"/>
      <c r="P19" s="377"/>
      <c r="Q19" s="94"/>
    </row>
    <row r="20" spans="2:17" ht="12.75" customHeight="1" x14ac:dyDescent="0.2">
      <c r="B20" s="93"/>
      <c r="C20" s="190"/>
      <c r="D20" s="394" t="s">
        <v>369</v>
      </c>
      <c r="E20" s="394"/>
      <c r="F20" s="394"/>
      <c r="G20" s="394"/>
      <c r="H20" s="394"/>
      <c r="I20" s="373" t="str">
        <f>'C'!C7</f>
        <v>No</v>
      </c>
      <c r="J20" s="374"/>
      <c r="K20" s="377" t="str">
        <f>IF(I20="No",No_requirement_in_document,'C'!F17)</f>
        <v>-</v>
      </c>
      <c r="L20" s="377"/>
      <c r="M20" s="377"/>
      <c r="N20" s="377"/>
      <c r="O20" s="377"/>
      <c r="P20" s="377"/>
      <c r="Q20" s="94"/>
    </row>
    <row r="21" spans="2:17" ht="25.5" customHeight="1" x14ac:dyDescent="0.2">
      <c r="B21" s="93"/>
      <c r="C21" s="191" t="s">
        <v>370</v>
      </c>
      <c r="D21" s="393" t="s">
        <v>32</v>
      </c>
      <c r="E21" s="393"/>
      <c r="F21" s="393"/>
      <c r="G21" s="393"/>
      <c r="H21" s="393"/>
      <c r="I21" s="373" t="str">
        <f>'C'!C24</f>
        <v>No</v>
      </c>
      <c r="J21" s="374"/>
      <c r="K21" s="386" t="str">
        <f>IF(I21="No",No_requirement_in_document,'C'!C28)</f>
        <v>-</v>
      </c>
      <c r="L21" s="387"/>
      <c r="M21" s="387"/>
      <c r="N21" s="387"/>
      <c r="O21" s="387"/>
      <c r="P21" s="387"/>
      <c r="Q21" s="94"/>
    </row>
    <row r="22" spans="2:17" ht="12.75" customHeight="1" x14ac:dyDescent="0.2">
      <c r="B22" s="93"/>
      <c r="C22" s="190" t="s">
        <v>33</v>
      </c>
      <c r="D22" s="393" t="s">
        <v>34</v>
      </c>
      <c r="E22" s="393"/>
      <c r="F22" s="393"/>
      <c r="G22" s="393"/>
      <c r="H22" s="393"/>
      <c r="I22" s="373" t="str">
        <f>D!C7</f>
        <v>No</v>
      </c>
      <c r="J22" s="374"/>
      <c r="K22" s="384" t="str">
        <f>No_requirement_in_document</f>
        <v>-</v>
      </c>
      <c r="L22" s="384"/>
      <c r="M22" s="384"/>
      <c r="N22" s="384"/>
      <c r="O22" s="384"/>
      <c r="P22" s="384"/>
      <c r="Q22" s="94"/>
    </row>
    <row r="23" spans="2:17" ht="25.5" customHeight="1" x14ac:dyDescent="0.2">
      <c r="B23" s="93"/>
      <c r="D23" s="366" t="s">
        <v>371</v>
      </c>
      <c r="E23" s="366"/>
      <c r="F23" s="366"/>
      <c r="G23" s="366"/>
      <c r="H23" s="366"/>
      <c r="I23" s="373" t="str">
        <f>I22</f>
        <v>No</v>
      </c>
      <c r="J23" s="374"/>
      <c r="K23" s="386" t="str">
        <f>IF(I22="No",No_requirement_in_document,D!E9)</f>
        <v>-</v>
      </c>
      <c r="L23" s="387"/>
      <c r="M23" s="387"/>
      <c r="N23" s="387"/>
      <c r="O23" s="387"/>
      <c r="P23" s="387"/>
      <c r="Q23" s="94"/>
    </row>
    <row r="24" spans="2:17" x14ac:dyDescent="0.2">
      <c r="B24" s="93"/>
      <c r="D24" s="366" t="s">
        <v>207</v>
      </c>
      <c r="E24" s="366"/>
      <c r="F24" s="366"/>
      <c r="G24" s="366"/>
      <c r="H24" s="409"/>
      <c r="I24" s="373" t="str">
        <f>IF(I22="No","No",IF(D!H19="","No","Yes"))</f>
        <v>No</v>
      </c>
      <c r="J24" s="374"/>
      <c r="K24" s="390" t="str">
        <f>IF(D!H19="",No_requirement_in_document,IF(OR(D!I21="Yes",ISBLANK(D!I21)),TEXT(D!H19,"#,##0")&amp;"m²",No_requirement_in_document))</f>
        <v>-</v>
      </c>
      <c r="L24" s="383"/>
      <c r="M24" s="383"/>
      <c r="N24" s="383"/>
      <c r="O24" s="383"/>
      <c r="P24" s="383"/>
      <c r="Q24" s="94"/>
    </row>
    <row r="25" spans="2:17" ht="12.75" customHeight="1" thickBot="1" x14ac:dyDescent="0.25">
      <c r="B25" s="93"/>
      <c r="D25" s="408" t="s">
        <v>211</v>
      </c>
      <c r="E25" s="408"/>
      <c r="F25" s="408"/>
      <c r="G25" s="408"/>
      <c r="H25" s="408"/>
      <c r="I25" s="364" t="str">
        <f>IF(I22="No",I22,D!C27)</f>
        <v>No</v>
      </c>
      <c r="J25" s="365"/>
      <c r="K25" s="378" t="str">
        <f>IF(OR(I22="No",D!C27="No"),No_requirement_in_document,IF(I25=Inputs_still_required,Inputs_still_required,TEXT(D!H31,"#,##0")&amp;"m²"))</f>
        <v>-</v>
      </c>
      <c r="L25" s="378"/>
      <c r="M25" s="378"/>
      <c r="N25" s="378"/>
      <c r="O25" s="378"/>
      <c r="P25" s="378"/>
      <c r="Q25" s="94"/>
    </row>
    <row r="26" spans="2:17" ht="12.75" customHeight="1" x14ac:dyDescent="0.2">
      <c r="B26" s="93"/>
      <c r="C26" s="160">
        <v>7</v>
      </c>
      <c r="D26" s="367" t="s">
        <v>36</v>
      </c>
      <c r="E26" s="367"/>
      <c r="F26" s="367"/>
      <c r="G26" s="367"/>
      <c r="H26" s="367"/>
      <c r="I26" s="362" t="str">
        <f>E!C7</f>
        <v>No</v>
      </c>
      <c r="J26" s="363"/>
      <c r="K26" s="385" t="str">
        <f>IF(I26="No",No_requirement_in_document,IF(E!I11="Yes","Arts and culture action plan",IF(ISBLANK(E!I11),Inputs_still_required,No_requirement_in_document)))</f>
        <v>-</v>
      </c>
      <c r="L26" s="385"/>
      <c r="M26" s="385"/>
      <c r="N26" s="385"/>
      <c r="O26" s="385"/>
      <c r="P26" s="385"/>
      <c r="Q26" s="94"/>
    </row>
    <row r="27" spans="2:17" ht="12.75" customHeight="1" x14ac:dyDescent="0.2">
      <c r="B27" s="93"/>
      <c r="D27" s="410" t="s">
        <v>372</v>
      </c>
      <c r="E27" s="410"/>
      <c r="F27" s="410"/>
      <c r="G27" s="410"/>
      <c r="H27" s="411"/>
      <c r="I27" s="356" t="str">
        <f>IF(I26="No",I26,E!E15)</f>
        <v>No</v>
      </c>
      <c r="J27" s="357"/>
      <c r="K27" s="377" t="str">
        <f>IF(E!G30="",No_requirement_in_document,E!G30)</f>
        <v>-</v>
      </c>
      <c r="L27" s="377"/>
      <c r="M27" s="377"/>
      <c r="N27" s="377"/>
      <c r="O27" s="377"/>
      <c r="P27" s="377"/>
      <c r="Q27" s="94"/>
    </row>
    <row r="28" spans="2:17" ht="12.75" customHeight="1" thickBot="1" x14ac:dyDescent="0.25">
      <c r="B28" s="93"/>
      <c r="D28" s="393" t="s">
        <v>373</v>
      </c>
      <c r="E28" s="393"/>
      <c r="F28" s="393"/>
      <c r="G28" s="393"/>
      <c r="H28" s="393"/>
      <c r="I28" s="404" t="str">
        <f>IF(I26="No","No",IF(E!E15=Inputs_still_required,Inputs_still_required,IF(E!E15="No","No",IF(ISBLANK(E!H34),Inputs_still_required,E!H34))))</f>
        <v>No</v>
      </c>
      <c r="J28" s="405"/>
      <c r="K28" s="392" t="str">
        <f>IF(E!G46="",No_requirement_in_document,E!G46)</f>
        <v>-</v>
      </c>
      <c r="L28" s="392"/>
      <c r="M28" s="392"/>
      <c r="N28" s="392"/>
      <c r="O28" s="392"/>
      <c r="P28" s="392"/>
      <c r="Q28" s="94"/>
    </row>
    <row r="29" spans="2:17" ht="12.75" customHeight="1" x14ac:dyDescent="0.2">
      <c r="B29" s="93"/>
      <c r="C29" s="160">
        <v>8</v>
      </c>
      <c r="D29" s="367" t="s">
        <v>38</v>
      </c>
      <c r="E29" s="367"/>
      <c r="F29" s="367"/>
      <c r="G29" s="367"/>
      <c r="H29" s="367"/>
      <c r="I29" s="362" t="s">
        <v>10</v>
      </c>
      <c r="J29" s="363"/>
      <c r="K29" s="385" t="str">
        <f>No_requirement_in_document</f>
        <v>-</v>
      </c>
      <c r="L29" s="385"/>
      <c r="M29" s="385"/>
      <c r="N29" s="385"/>
      <c r="O29" s="385"/>
      <c r="P29" s="385"/>
      <c r="Q29" s="94"/>
    </row>
    <row r="30" spans="2:17" ht="12.75" customHeight="1" x14ac:dyDescent="0.2">
      <c r="B30" s="93"/>
      <c r="C30" s="78"/>
      <c r="D30" s="407" t="s">
        <v>40</v>
      </c>
      <c r="E30" s="407"/>
      <c r="F30" s="407"/>
      <c r="G30" s="407"/>
      <c r="H30" s="407"/>
      <c r="I30" s="373" t="str">
        <f>F!C24</f>
        <v>No</v>
      </c>
      <c r="J30" s="374"/>
      <c r="K30" s="387" t="str">
        <f>IF(I30="No",No_requirement_in_document,TEXT(F!J30,"#,##0.0")&amp; " additional permanent forms of entry")</f>
        <v>-</v>
      </c>
      <c r="L30" s="387"/>
      <c r="M30" s="387"/>
      <c r="N30" s="387"/>
      <c r="O30" s="387"/>
      <c r="P30" s="387"/>
      <c r="Q30" s="94"/>
    </row>
    <row r="31" spans="2:17" ht="12.75" customHeight="1" x14ac:dyDescent="0.2">
      <c r="B31" s="93"/>
      <c r="D31" s="393" t="s">
        <v>41</v>
      </c>
      <c r="E31" s="393"/>
      <c r="F31" s="393"/>
      <c r="G31" s="393"/>
      <c r="H31" s="393"/>
      <c r="I31" s="373" t="str">
        <f>F!C36</f>
        <v>No</v>
      </c>
      <c r="J31" s="374"/>
      <c r="K31" s="384" t="str">
        <f>IF(I31="No",No_requirement_in_document,TEXT(F!J42,"#,##0.0")&amp; " additional permanent forms of entry")</f>
        <v>-</v>
      </c>
      <c r="L31" s="384"/>
      <c r="M31" s="384"/>
      <c r="N31" s="384"/>
      <c r="O31" s="384"/>
      <c r="P31" s="384"/>
      <c r="Q31" s="94"/>
    </row>
    <row r="32" spans="2:17" ht="12.75" customHeight="1" x14ac:dyDescent="0.2">
      <c r="B32" s="93"/>
      <c r="D32" s="393" t="s">
        <v>42</v>
      </c>
      <c r="E32" s="393"/>
      <c r="F32" s="393"/>
      <c r="G32" s="393"/>
      <c r="H32" s="393"/>
      <c r="I32" s="373" t="s">
        <v>364</v>
      </c>
      <c r="J32" s="374"/>
      <c r="K32" s="384" t="s">
        <v>374</v>
      </c>
      <c r="L32" s="384"/>
      <c r="M32" s="384"/>
      <c r="N32" s="384"/>
      <c r="O32" s="384"/>
      <c r="P32" s="384"/>
      <c r="Q32" s="94"/>
    </row>
    <row r="33" spans="2:17" ht="12.75" customHeight="1" x14ac:dyDescent="0.2">
      <c r="B33" s="93"/>
      <c r="D33" s="395" t="s">
        <v>43</v>
      </c>
      <c r="E33" s="395"/>
      <c r="F33" s="395"/>
      <c r="G33" s="395"/>
      <c r="H33" s="395"/>
      <c r="I33" s="373" t="str">
        <f>F!C52</f>
        <v>No</v>
      </c>
      <c r="J33" s="374"/>
      <c r="K33" s="383" t="str">
        <f>IF(I33="No",No_requirement_in_document,"Provision of emergency services facilities")</f>
        <v>-</v>
      </c>
      <c r="L33" s="383"/>
      <c r="M33" s="383"/>
      <c r="N33" s="383"/>
      <c r="O33" s="383"/>
      <c r="P33" s="383"/>
      <c r="Q33" s="94"/>
    </row>
    <row r="34" spans="2:17" ht="12.75" customHeight="1" x14ac:dyDescent="0.2">
      <c r="B34" s="93"/>
      <c r="D34" s="395" t="s">
        <v>44</v>
      </c>
      <c r="E34" s="395"/>
      <c r="F34" s="395"/>
      <c r="G34" s="395"/>
      <c r="H34" s="395"/>
      <c r="I34" s="373" t="str">
        <f>F!C62</f>
        <v>No</v>
      </c>
      <c r="J34" s="374"/>
      <c r="K34" s="383" t="str">
        <f>IF(I34="No",No_requirement_in_document,"Provision of district ward offices")</f>
        <v>-</v>
      </c>
      <c r="L34" s="383"/>
      <c r="M34" s="383"/>
      <c r="N34" s="383"/>
      <c r="O34" s="383"/>
      <c r="P34" s="383"/>
      <c r="Q34" s="94"/>
    </row>
    <row r="35" spans="2:17" ht="12.75" customHeight="1" thickBot="1" x14ac:dyDescent="0.25">
      <c r="B35" s="93"/>
      <c r="D35" s="395" t="s">
        <v>45</v>
      </c>
      <c r="E35" s="395"/>
      <c r="F35" s="395"/>
      <c r="G35" s="395"/>
      <c r="H35" s="395"/>
      <c r="I35" s="373" t="str">
        <f>F!C72</f>
        <v>No</v>
      </c>
      <c r="J35" s="374"/>
      <c r="K35" s="384" t="str">
        <f>IF(I35="No",No_requirement_in_document,"Planning obligation required")</f>
        <v>-</v>
      </c>
      <c r="L35" s="384"/>
      <c r="M35" s="384"/>
      <c r="N35" s="384"/>
      <c r="O35" s="384"/>
      <c r="P35" s="384"/>
      <c r="Q35" s="94"/>
    </row>
    <row r="36" spans="2:17" ht="25.5" customHeight="1" thickBot="1" x14ac:dyDescent="0.25">
      <c r="B36" s="93"/>
      <c r="C36" s="160">
        <v>9</v>
      </c>
      <c r="D36" s="403" t="s">
        <v>46</v>
      </c>
      <c r="E36" s="403"/>
      <c r="F36" s="403"/>
      <c r="G36" s="403"/>
      <c r="H36" s="403"/>
      <c r="I36" s="360" t="str">
        <f>G!C7</f>
        <v>Inputs still required</v>
      </c>
      <c r="J36" s="361"/>
      <c r="K36" s="379" t="str">
        <f>IF(I36="No",No_requirement_in_document,G!C12)</f>
        <v/>
      </c>
      <c r="L36" s="379"/>
      <c r="M36" s="379"/>
      <c r="N36" s="379"/>
      <c r="O36" s="379"/>
      <c r="P36" s="379"/>
      <c r="Q36" s="94"/>
    </row>
    <row r="37" spans="2:17" ht="12.75" customHeight="1" x14ac:dyDescent="0.2">
      <c r="B37" s="93"/>
      <c r="C37" s="81">
        <v>10</v>
      </c>
      <c r="D37" s="367" t="s">
        <v>48</v>
      </c>
      <c r="E37" s="367"/>
      <c r="F37" s="367"/>
      <c r="G37" s="367"/>
      <c r="H37" s="367"/>
      <c r="I37" s="362" t="s">
        <v>10</v>
      </c>
      <c r="J37" s="363"/>
      <c r="K37" s="385" t="str">
        <f>No_requirement_in_document</f>
        <v>-</v>
      </c>
      <c r="L37" s="385"/>
      <c r="M37" s="385"/>
      <c r="N37" s="385"/>
      <c r="O37" s="385"/>
      <c r="P37" s="385"/>
      <c r="Q37" s="94"/>
    </row>
    <row r="38" spans="2:17" ht="12.75" customHeight="1" x14ac:dyDescent="0.2">
      <c r="B38" s="93"/>
      <c r="C38" s="192" t="s">
        <v>50</v>
      </c>
      <c r="D38" s="393" t="s">
        <v>51</v>
      </c>
      <c r="E38" s="393"/>
      <c r="F38" s="393"/>
      <c r="G38" s="393"/>
      <c r="H38" s="393"/>
      <c r="I38" s="373" t="str">
        <f>H!C9</f>
        <v>No</v>
      </c>
      <c r="J38" s="374"/>
      <c r="K38" s="377" t="str">
        <f>IF(I38="No",No_requirement_in_document,H!F17)</f>
        <v>-</v>
      </c>
      <c r="L38" s="377"/>
      <c r="M38" s="377"/>
      <c r="N38" s="377"/>
      <c r="O38" s="377"/>
      <c r="P38" s="377"/>
      <c r="Q38" s="94"/>
    </row>
    <row r="39" spans="2:17" ht="12.75" customHeight="1" x14ac:dyDescent="0.2">
      <c r="B39" s="93"/>
      <c r="C39" s="192" t="s">
        <v>52</v>
      </c>
      <c r="D39" s="393" t="s">
        <v>53</v>
      </c>
      <c r="E39" s="393"/>
      <c r="F39" s="393"/>
      <c r="G39" s="393"/>
      <c r="H39" s="393"/>
      <c r="I39" s="373" t="str">
        <f>IF(ISBLANK(H!K21),Inputs_still_required,H!K21)</f>
        <v>Inputs still required</v>
      </c>
      <c r="J39" s="374"/>
      <c r="K39" s="384" t="str">
        <f>IF(I39="No",No_requirement_in_document,H!C23)</f>
        <v>Inputs still required</v>
      </c>
      <c r="L39" s="384"/>
      <c r="M39" s="384"/>
      <c r="N39" s="384"/>
      <c r="O39" s="384"/>
      <c r="P39" s="384"/>
      <c r="Q39" s="94"/>
    </row>
    <row r="40" spans="2:17" ht="12.75" customHeight="1" x14ac:dyDescent="0.2">
      <c r="B40" s="93"/>
      <c r="C40" s="192" t="s">
        <v>54</v>
      </c>
      <c r="D40" s="393" t="s">
        <v>55</v>
      </c>
      <c r="E40" s="393"/>
      <c r="F40" s="393"/>
      <c r="G40" s="393"/>
      <c r="H40" s="393"/>
      <c r="I40" s="373" t="str">
        <f>IF(ISBLANK(H!M27),Inputs_still_required,H!M27)</f>
        <v>Inputs still required</v>
      </c>
      <c r="J40" s="374"/>
      <c r="K40" s="384" t="str">
        <f>IF(I40="No",No_requirement_in_document,H!C29)</f>
        <v>Inputs still required</v>
      </c>
      <c r="L40" s="384"/>
      <c r="M40" s="384"/>
      <c r="N40" s="384"/>
      <c r="O40" s="384"/>
      <c r="P40" s="384"/>
      <c r="Q40" s="94"/>
    </row>
    <row r="41" spans="2:17" ht="12.75" customHeight="1" x14ac:dyDescent="0.2">
      <c r="B41" s="93"/>
      <c r="C41" s="192" t="s">
        <v>56</v>
      </c>
      <c r="D41" s="393" t="s">
        <v>57</v>
      </c>
      <c r="E41" s="393"/>
      <c r="F41" s="393"/>
      <c r="G41" s="393"/>
      <c r="H41" s="393"/>
      <c r="I41" s="373" t="str">
        <f>IF(ISBLANK(H!J33),Inputs_still_required,H!J33)</f>
        <v>Inputs still required</v>
      </c>
      <c r="J41" s="374"/>
      <c r="K41" s="384" t="str">
        <f>IF(I41="No",No_requirement_in_document,H!C35)</f>
        <v>Inputs still required</v>
      </c>
      <c r="L41" s="384"/>
      <c r="M41" s="384"/>
      <c r="N41" s="384"/>
      <c r="O41" s="384"/>
      <c r="P41" s="384"/>
      <c r="Q41" s="94"/>
    </row>
    <row r="42" spans="2:17" ht="12.75" customHeight="1" x14ac:dyDescent="0.2">
      <c r="B42" s="93"/>
      <c r="C42" s="190" t="s">
        <v>58</v>
      </c>
      <c r="D42" s="393" t="s">
        <v>59</v>
      </c>
      <c r="E42" s="393"/>
      <c r="F42" s="393"/>
      <c r="G42" s="393"/>
      <c r="H42" s="393"/>
      <c r="I42" s="373" t="str">
        <f>I!C7</f>
        <v>No</v>
      </c>
      <c r="J42" s="374"/>
      <c r="K42" s="384" t="str">
        <f>No_requirement_in_document</f>
        <v>-</v>
      </c>
      <c r="L42" s="384"/>
      <c r="M42" s="384"/>
      <c r="N42" s="384"/>
      <c r="O42" s="384"/>
      <c r="P42" s="384"/>
      <c r="Q42" s="94"/>
    </row>
    <row r="43" spans="2:17" ht="12.75" customHeight="1" x14ac:dyDescent="0.2">
      <c r="B43" s="93"/>
      <c r="D43" s="366" t="s">
        <v>375</v>
      </c>
      <c r="E43" s="366"/>
      <c r="F43" s="366"/>
      <c r="G43" s="366"/>
      <c r="H43" s="366"/>
      <c r="I43" s="373" t="str">
        <f>IF(I42="No", "No",I!G23)</f>
        <v>No</v>
      </c>
      <c r="J43" s="374"/>
      <c r="K43" s="384" t="str">
        <f>IF(I43="No",No_requirement_in_document,I!G23)</f>
        <v>-</v>
      </c>
      <c r="L43" s="384"/>
      <c r="M43" s="384"/>
      <c r="N43" s="384"/>
      <c r="O43" s="384"/>
      <c r="P43" s="384"/>
      <c r="Q43" s="94"/>
    </row>
    <row r="44" spans="2:17" ht="12.75" customHeight="1" x14ac:dyDescent="0.2">
      <c r="B44" s="93"/>
      <c r="D44" s="366" t="s">
        <v>376</v>
      </c>
      <c r="E44" s="366"/>
      <c r="F44" s="366"/>
      <c r="G44" s="366"/>
      <c r="H44" s="366"/>
      <c r="I44" s="373" t="str">
        <f>IF(I42="No","No",I!E29)</f>
        <v>No</v>
      </c>
      <c r="J44" s="374"/>
      <c r="K44" s="377" t="str">
        <f>IF(I44="No",No_requirement_in_document,I!G36)</f>
        <v>-</v>
      </c>
      <c r="L44" s="377"/>
      <c r="M44" s="377"/>
      <c r="N44" s="377"/>
      <c r="O44" s="377"/>
      <c r="P44" s="377"/>
      <c r="Q44" s="94"/>
    </row>
    <row r="45" spans="2:17" ht="12.75" customHeight="1" thickBot="1" x14ac:dyDescent="0.25">
      <c r="B45" s="93"/>
      <c r="C45" s="193" t="s">
        <v>61</v>
      </c>
      <c r="D45" s="372" t="s">
        <v>62</v>
      </c>
      <c r="E45" s="372"/>
      <c r="F45" s="372"/>
      <c r="G45" s="372"/>
      <c r="H45" s="372"/>
      <c r="I45" s="364" t="str">
        <f>I!C42</f>
        <v>No</v>
      </c>
      <c r="J45" s="365"/>
      <c r="K45" s="378" t="str">
        <f>IF(I45="No",No_requirement_in_document,I!C46)</f>
        <v>-</v>
      </c>
      <c r="L45" s="378"/>
      <c r="M45" s="378"/>
      <c r="N45" s="378"/>
      <c r="O45" s="378"/>
      <c r="P45" s="378"/>
      <c r="Q45" s="94"/>
    </row>
    <row r="46" spans="2:17" ht="12.75" customHeight="1" thickBot="1" x14ac:dyDescent="0.25">
      <c r="B46" s="93"/>
      <c r="C46" s="160">
        <v>11</v>
      </c>
      <c r="D46" s="403" t="s">
        <v>63</v>
      </c>
      <c r="E46" s="403"/>
      <c r="F46" s="403"/>
      <c r="G46" s="403"/>
      <c r="H46" s="403"/>
      <c r="I46" s="360" t="s">
        <v>364</v>
      </c>
      <c r="J46" s="361"/>
      <c r="K46" s="379" t="str">
        <f>Not_included_in_summary</f>
        <v>Refer to the Supplementary Planning Document</v>
      </c>
      <c r="L46" s="379"/>
      <c r="M46" s="379"/>
      <c r="N46" s="379"/>
      <c r="O46" s="379"/>
      <c r="P46" s="379"/>
      <c r="Q46" s="94"/>
    </row>
    <row r="47" spans="2:17" ht="12.75" customHeight="1" thickBot="1" x14ac:dyDescent="0.25">
      <c r="B47" s="93"/>
      <c r="C47" s="160">
        <v>12</v>
      </c>
      <c r="D47" s="403" t="s">
        <v>64</v>
      </c>
      <c r="E47" s="403"/>
      <c r="F47" s="403"/>
      <c r="G47" s="403"/>
      <c r="H47" s="403"/>
      <c r="I47" s="360" t="str">
        <f>J!G7</f>
        <v>Inputs still required</v>
      </c>
      <c r="J47" s="361"/>
      <c r="K47" s="379" t="str">
        <f>IF(I47="Yes","Contribution required",No_requirement_in_document)</f>
        <v>-</v>
      </c>
      <c r="L47" s="379"/>
      <c r="M47" s="379"/>
      <c r="N47" s="379"/>
      <c r="O47" s="379"/>
      <c r="P47" s="379"/>
      <c r="Q47" s="94"/>
    </row>
    <row r="48" spans="2:17" ht="12.75" customHeight="1" thickBot="1" x14ac:dyDescent="0.25">
      <c r="B48" s="93"/>
      <c r="C48" s="82">
        <v>13</v>
      </c>
      <c r="D48" s="406" t="s">
        <v>66</v>
      </c>
      <c r="E48" s="406"/>
      <c r="F48" s="406"/>
      <c r="G48" s="406"/>
      <c r="H48" s="406"/>
      <c r="I48" s="397" t="str">
        <f>J!F14</f>
        <v>Inputs still required</v>
      </c>
      <c r="J48" s="398"/>
      <c r="K48" s="380" t="str">
        <f>IF(I48="Yes","Contribution required",No_requirement_in_document)</f>
        <v>-</v>
      </c>
      <c r="L48" s="380"/>
      <c r="M48" s="380"/>
      <c r="N48" s="380"/>
      <c r="O48" s="380"/>
      <c r="P48" s="380"/>
      <c r="Q48" s="94"/>
    </row>
    <row r="49" spans="2:17" ht="13.5" thickTop="1" x14ac:dyDescent="0.2">
      <c r="B49" s="101"/>
      <c r="C49" s="102"/>
      <c r="D49" s="102"/>
      <c r="E49" s="102"/>
      <c r="F49" s="102"/>
      <c r="G49" s="102"/>
      <c r="H49" s="102"/>
      <c r="I49" s="161"/>
      <c r="J49" s="161"/>
      <c r="K49" s="102"/>
      <c r="L49" s="102"/>
      <c r="M49" s="102"/>
      <c r="N49" s="102"/>
      <c r="O49" s="102"/>
      <c r="P49" s="102"/>
      <c r="Q49" s="103"/>
    </row>
    <row r="51" spans="2:17" x14ac:dyDescent="0.2">
      <c r="C51" s="63" t="s">
        <v>179</v>
      </c>
    </row>
  </sheetData>
  <sheetProtection algorithmName="SHA-512" hashValue="FPFnap5vhec8hIFPY7itROIWaeX44E5WVtP4eV4uH03Lgv8Z0zb69RTM/VgY+liR0F8oe0jtT7WdOvOJzv2nGw==" saltValue="nRXbcvDIo1yOeRrxy5hB7Q==" spinCount="100000" sheet="1" selectLockedCells="1"/>
  <mergeCells count="130">
    <mergeCell ref="D33:H33"/>
    <mergeCell ref="D48:H48"/>
    <mergeCell ref="D29:H29"/>
    <mergeCell ref="D30:H30"/>
    <mergeCell ref="D31:H31"/>
    <mergeCell ref="D32:H32"/>
    <mergeCell ref="D22:H22"/>
    <mergeCell ref="D23:H23"/>
    <mergeCell ref="D25:H25"/>
    <mergeCell ref="D26:H26"/>
    <mergeCell ref="D24:H24"/>
    <mergeCell ref="D27:H27"/>
    <mergeCell ref="D28:H28"/>
    <mergeCell ref="D34:H34"/>
    <mergeCell ref="D40:H40"/>
    <mergeCell ref="D41:H41"/>
    <mergeCell ref="D42:H42"/>
    <mergeCell ref="D43:H43"/>
    <mergeCell ref="D44:H44"/>
    <mergeCell ref="D35:H35"/>
    <mergeCell ref="D36:H36"/>
    <mergeCell ref="D37:H37"/>
    <mergeCell ref="D38:H38"/>
    <mergeCell ref="D21:H21"/>
    <mergeCell ref="D20:H20"/>
    <mergeCell ref="D19:H19"/>
    <mergeCell ref="I47:J47"/>
    <mergeCell ref="I48:J48"/>
    <mergeCell ref="I5:J6"/>
    <mergeCell ref="D13:H13"/>
    <mergeCell ref="D15:H15"/>
    <mergeCell ref="D17:H17"/>
    <mergeCell ref="I38:J38"/>
    <mergeCell ref="I39:J39"/>
    <mergeCell ref="I40:J40"/>
    <mergeCell ref="I41:J41"/>
    <mergeCell ref="I42:J42"/>
    <mergeCell ref="I43:J43"/>
    <mergeCell ref="I28:J28"/>
    <mergeCell ref="I29:J29"/>
    <mergeCell ref="I30:J30"/>
    <mergeCell ref="I31:J31"/>
    <mergeCell ref="I32:J32"/>
    <mergeCell ref="D45:H45"/>
    <mergeCell ref="D47:H47"/>
    <mergeCell ref="D46:H46"/>
    <mergeCell ref="D39:H39"/>
    <mergeCell ref="K43:P43"/>
    <mergeCell ref="K38:P38"/>
    <mergeCell ref="K39:P39"/>
    <mergeCell ref="K30:P30"/>
    <mergeCell ref="K31:P31"/>
    <mergeCell ref="K32:P32"/>
    <mergeCell ref="K33:P33"/>
    <mergeCell ref="K28:P28"/>
    <mergeCell ref="K29:P29"/>
    <mergeCell ref="K10:P10"/>
    <mergeCell ref="K40:P40"/>
    <mergeCell ref="K41:P41"/>
    <mergeCell ref="K42:P42"/>
    <mergeCell ref="K21:P21"/>
    <mergeCell ref="K22:P22"/>
    <mergeCell ref="K20:P20"/>
    <mergeCell ref="K12:P12"/>
    <mergeCell ref="K13:P13"/>
    <mergeCell ref="K14:P14"/>
    <mergeCell ref="K15:P15"/>
    <mergeCell ref="K11:P11"/>
    <mergeCell ref="K24:P24"/>
    <mergeCell ref="K19:P19"/>
    <mergeCell ref="C5:H6"/>
    <mergeCell ref="C3:F3"/>
    <mergeCell ref="K44:P44"/>
    <mergeCell ref="K45:P45"/>
    <mergeCell ref="K46:P46"/>
    <mergeCell ref="K47:P47"/>
    <mergeCell ref="K48:P48"/>
    <mergeCell ref="K5:P6"/>
    <mergeCell ref="K34:P34"/>
    <mergeCell ref="K35:P35"/>
    <mergeCell ref="K36:P36"/>
    <mergeCell ref="K37:P37"/>
    <mergeCell ref="K23:P23"/>
    <mergeCell ref="K25:P25"/>
    <mergeCell ref="K26:P26"/>
    <mergeCell ref="K27:P27"/>
    <mergeCell ref="K16:P16"/>
    <mergeCell ref="K17:P17"/>
    <mergeCell ref="K18:P18"/>
    <mergeCell ref="K7:P7"/>
    <mergeCell ref="K8:P8"/>
    <mergeCell ref="K9:P9"/>
    <mergeCell ref="I46:J46"/>
    <mergeCell ref="I20:J20"/>
    <mergeCell ref="I21:J21"/>
    <mergeCell ref="I22:J22"/>
    <mergeCell ref="I13:J13"/>
    <mergeCell ref="I15:J15"/>
    <mergeCell ref="I18:J18"/>
    <mergeCell ref="I17:J17"/>
    <mergeCell ref="I44:J44"/>
    <mergeCell ref="I45:J45"/>
    <mergeCell ref="I35:J35"/>
    <mergeCell ref="I24:J24"/>
    <mergeCell ref="I33:J33"/>
    <mergeCell ref="I26:J26"/>
    <mergeCell ref="I27:J27"/>
    <mergeCell ref="I23:J23"/>
    <mergeCell ref="I25:J25"/>
    <mergeCell ref="I19:J19"/>
    <mergeCell ref="I36:J36"/>
    <mergeCell ref="I37:J37"/>
    <mergeCell ref="I34:J34"/>
    <mergeCell ref="I7:J7"/>
    <mergeCell ref="I8:J8"/>
    <mergeCell ref="I9:J9"/>
    <mergeCell ref="I10:J10"/>
    <mergeCell ref="I11:J11"/>
    <mergeCell ref="I12:J12"/>
    <mergeCell ref="I14:J14"/>
    <mergeCell ref="I16:J16"/>
    <mergeCell ref="D18:H18"/>
    <mergeCell ref="D16:H16"/>
    <mergeCell ref="D7:H7"/>
    <mergeCell ref="D8:H8"/>
    <mergeCell ref="D9:H9"/>
    <mergeCell ref="D10:H10"/>
    <mergeCell ref="D11:H11"/>
    <mergeCell ref="D12:H12"/>
    <mergeCell ref="D14:H14"/>
  </mergeCells>
  <conditionalFormatting sqref="I7:P18 I19 K19 I20:P23 I24:K24 I25:P48">
    <cfRule type="expression" dxfId="1" priority="4">
      <formula>OR(I7="Yes",NOT(I7=No_requirement_in_document))</formula>
    </cfRule>
  </conditionalFormatting>
  <conditionalFormatting sqref="I7:P18 I19 K19 I20:P48">
    <cfRule type="cellIs" priority="1" stopIfTrue="1" operator="equal">
      <formula>Inputs_still_required</formula>
    </cfRule>
  </conditionalFormatting>
  <conditionalFormatting sqref="I7:P18 K19 I20:P23 I24:K24 I25:P48 I19">
    <cfRule type="expression" priority="3" stopIfTrue="1">
      <formula>OR(I7="No",I7="", I7="May apply")</formula>
    </cfRule>
  </conditionalFormatting>
  <pageMargins left="0.39370078740157483" right="0.39370078740157483" top="0.39370078740157483" bottom="0.39370078740157483" header="0.19685039370078741" footer="0.19685039370078741"/>
  <pageSetup paperSize="9" scale="94" orientation="landscape" r:id="rId1"/>
  <headerFooter>
    <oddHeader>&amp;L&amp;"Calibri"&amp;10&amp;K000000Official&amp;1#_x000D_&amp;"Calibri"&amp;11&amp;K000000&amp;9&amp;F</oddHeader>
    <oddFooter>&amp;R&amp;9Page &amp;P of &amp;N</oddFooter>
  </headerFooter>
  <rowBreaks count="1" manualBreakCount="1">
    <brk id="36" min="1" max="16" man="1"/>
  </rowBreaks>
  <extLst>
    <ext xmlns:x14="http://schemas.microsoft.com/office/spreadsheetml/2009/9/main" uri="{78C0D931-6437-407d-A8EE-F0AAD7539E65}">
      <x14:conditionalFormattings>
        <x14:conditionalFormatting xmlns:xm="http://schemas.microsoft.com/office/excel/2006/main">
          <x14:cfRule type="cellIs" priority="2" stopIfTrue="1" operator="equal" id="{0E32A05B-D030-4AD0-83FF-9D950A6FFEF7}">
            <xm:f>'Standard Messages'!$B$6</xm:f>
            <x14:dxf>
              <font>
                <b val="0"/>
                <i val="0"/>
                <color theme="0"/>
              </font>
            </x14:dxf>
          </x14:cfRule>
          <xm:sqref>K3:P18 K19 K20:P23 K24 K25:P1048576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D201"/>
  <sheetViews>
    <sheetView workbookViewId="0">
      <selection activeCell="C2" sqref="C2"/>
    </sheetView>
  </sheetViews>
  <sheetFormatPr defaultRowHeight="12.75" x14ac:dyDescent="0.2"/>
  <cols>
    <col min="1" max="1" width="19.28515625" customWidth="1"/>
    <col min="2" max="2" width="32.5703125" customWidth="1"/>
    <col min="3" max="3" width="27.140625" customWidth="1"/>
  </cols>
  <sheetData>
    <row r="1" spans="1:4" x14ac:dyDescent="0.2">
      <c r="A1" s="2" t="s">
        <v>336</v>
      </c>
      <c r="B1" s="2" t="s">
        <v>377</v>
      </c>
      <c r="C1" s="68" t="s">
        <v>330</v>
      </c>
      <c r="D1" s="64"/>
    </row>
    <row r="2" spans="1:4" x14ac:dyDescent="0.2">
      <c r="A2">
        <v>0</v>
      </c>
      <c r="B2" t="s">
        <v>337</v>
      </c>
      <c r="C2" t="str">
        <f>IF('Development Details'!E16="Residential", IF('Development Details'!M36&gt;=200, "R6", VLOOKUP('Development Details'!M36,'Lookup Development Size'!$A$2:$B$201,2,0)), IF('Development Details'!E16="Non-Residential", IF('Development Details'!E71&lt;1000,K!C49,
IF('Development Details'!E71&lt;10000,K!C50, K!C51)), Inputs_still_required))</f>
        <v>Inputs still required</v>
      </c>
    </row>
    <row r="3" spans="1:4" x14ac:dyDescent="0.2">
      <c r="A3">
        <v>1</v>
      </c>
      <c r="B3" t="s">
        <v>337</v>
      </c>
    </row>
    <row r="4" spans="1:4" x14ac:dyDescent="0.2">
      <c r="A4">
        <v>2</v>
      </c>
      <c r="B4" t="s">
        <v>337</v>
      </c>
    </row>
    <row r="5" spans="1:4" x14ac:dyDescent="0.2">
      <c r="A5">
        <v>3</v>
      </c>
      <c r="B5" t="s">
        <v>337</v>
      </c>
    </row>
    <row r="6" spans="1:4" x14ac:dyDescent="0.2">
      <c r="A6">
        <v>4</v>
      </c>
      <c r="B6" t="s">
        <v>337</v>
      </c>
    </row>
    <row r="7" spans="1:4" x14ac:dyDescent="0.2">
      <c r="A7">
        <v>5</v>
      </c>
      <c r="B7" t="s">
        <v>337</v>
      </c>
    </row>
    <row r="8" spans="1:4" x14ac:dyDescent="0.2">
      <c r="A8">
        <v>6</v>
      </c>
      <c r="B8" t="s">
        <v>337</v>
      </c>
    </row>
    <row r="9" spans="1:4" x14ac:dyDescent="0.2">
      <c r="A9">
        <v>7</v>
      </c>
      <c r="B9" t="s">
        <v>337</v>
      </c>
    </row>
    <row r="10" spans="1:4" x14ac:dyDescent="0.2">
      <c r="A10">
        <v>8</v>
      </c>
      <c r="B10" t="s">
        <v>337</v>
      </c>
    </row>
    <row r="11" spans="1:4" x14ac:dyDescent="0.2">
      <c r="A11">
        <v>9</v>
      </c>
      <c r="B11" t="s">
        <v>337</v>
      </c>
    </row>
    <row r="12" spans="1:4" x14ac:dyDescent="0.2">
      <c r="A12">
        <v>10</v>
      </c>
      <c r="B12" t="s">
        <v>339</v>
      </c>
    </row>
    <row r="13" spans="1:4" x14ac:dyDescent="0.2">
      <c r="A13">
        <v>11</v>
      </c>
      <c r="B13" t="s">
        <v>339</v>
      </c>
    </row>
    <row r="14" spans="1:4" x14ac:dyDescent="0.2">
      <c r="A14">
        <v>12</v>
      </c>
      <c r="B14" t="s">
        <v>339</v>
      </c>
    </row>
    <row r="15" spans="1:4" x14ac:dyDescent="0.2">
      <c r="A15">
        <v>13</v>
      </c>
      <c r="B15" t="s">
        <v>339</v>
      </c>
    </row>
    <row r="16" spans="1:4" x14ac:dyDescent="0.2">
      <c r="A16">
        <v>14</v>
      </c>
      <c r="B16" t="s">
        <v>339</v>
      </c>
    </row>
    <row r="17" spans="1:2" x14ac:dyDescent="0.2">
      <c r="A17">
        <v>15</v>
      </c>
      <c r="B17" t="s">
        <v>339</v>
      </c>
    </row>
    <row r="18" spans="1:2" x14ac:dyDescent="0.2">
      <c r="A18">
        <v>16</v>
      </c>
      <c r="B18" t="s">
        <v>339</v>
      </c>
    </row>
    <row r="19" spans="1:2" x14ac:dyDescent="0.2">
      <c r="A19">
        <v>17</v>
      </c>
      <c r="B19" t="s">
        <v>339</v>
      </c>
    </row>
    <row r="20" spans="1:2" x14ac:dyDescent="0.2">
      <c r="A20">
        <v>18</v>
      </c>
      <c r="B20" t="s">
        <v>339</v>
      </c>
    </row>
    <row r="21" spans="1:2" x14ac:dyDescent="0.2">
      <c r="A21">
        <v>19</v>
      </c>
      <c r="B21" t="s">
        <v>339</v>
      </c>
    </row>
    <row r="22" spans="1:2" x14ac:dyDescent="0.2">
      <c r="A22">
        <v>20</v>
      </c>
      <c r="B22" t="s">
        <v>339</v>
      </c>
    </row>
    <row r="23" spans="1:2" x14ac:dyDescent="0.2">
      <c r="A23">
        <v>21</v>
      </c>
      <c r="B23" t="s">
        <v>339</v>
      </c>
    </row>
    <row r="24" spans="1:2" x14ac:dyDescent="0.2">
      <c r="A24">
        <v>22</v>
      </c>
      <c r="B24" t="s">
        <v>339</v>
      </c>
    </row>
    <row r="25" spans="1:2" x14ac:dyDescent="0.2">
      <c r="A25">
        <v>23</v>
      </c>
      <c r="B25" t="s">
        <v>339</v>
      </c>
    </row>
    <row r="26" spans="1:2" x14ac:dyDescent="0.2">
      <c r="A26">
        <v>24</v>
      </c>
      <c r="B26" t="s">
        <v>339</v>
      </c>
    </row>
    <row r="27" spans="1:2" x14ac:dyDescent="0.2">
      <c r="A27">
        <v>25</v>
      </c>
      <c r="B27" t="s">
        <v>339</v>
      </c>
    </row>
    <row r="28" spans="1:2" x14ac:dyDescent="0.2">
      <c r="A28">
        <v>26</v>
      </c>
      <c r="B28" t="s">
        <v>339</v>
      </c>
    </row>
    <row r="29" spans="1:2" x14ac:dyDescent="0.2">
      <c r="A29">
        <v>27</v>
      </c>
      <c r="B29" t="s">
        <v>339</v>
      </c>
    </row>
    <row r="30" spans="1:2" x14ac:dyDescent="0.2">
      <c r="A30">
        <v>28</v>
      </c>
      <c r="B30" t="s">
        <v>339</v>
      </c>
    </row>
    <row r="31" spans="1:2" x14ac:dyDescent="0.2">
      <c r="A31">
        <v>29</v>
      </c>
      <c r="B31" t="s">
        <v>339</v>
      </c>
    </row>
    <row r="32" spans="1:2" x14ac:dyDescent="0.2">
      <c r="A32">
        <v>30</v>
      </c>
      <c r="B32" t="s">
        <v>339</v>
      </c>
    </row>
    <row r="33" spans="1:2" x14ac:dyDescent="0.2">
      <c r="A33">
        <v>31</v>
      </c>
      <c r="B33" t="s">
        <v>339</v>
      </c>
    </row>
    <row r="34" spans="1:2" x14ac:dyDescent="0.2">
      <c r="A34">
        <v>32</v>
      </c>
      <c r="B34" t="s">
        <v>339</v>
      </c>
    </row>
    <row r="35" spans="1:2" x14ac:dyDescent="0.2">
      <c r="A35">
        <v>33</v>
      </c>
      <c r="B35" t="s">
        <v>339</v>
      </c>
    </row>
    <row r="36" spans="1:2" x14ac:dyDescent="0.2">
      <c r="A36">
        <v>34</v>
      </c>
      <c r="B36" t="s">
        <v>339</v>
      </c>
    </row>
    <row r="37" spans="1:2" x14ac:dyDescent="0.2">
      <c r="A37">
        <v>35</v>
      </c>
      <c r="B37" t="s">
        <v>339</v>
      </c>
    </row>
    <row r="38" spans="1:2" x14ac:dyDescent="0.2">
      <c r="A38">
        <v>36</v>
      </c>
      <c r="B38" t="s">
        <v>339</v>
      </c>
    </row>
    <row r="39" spans="1:2" x14ac:dyDescent="0.2">
      <c r="A39">
        <v>37</v>
      </c>
      <c r="B39" t="s">
        <v>339</v>
      </c>
    </row>
    <row r="40" spans="1:2" x14ac:dyDescent="0.2">
      <c r="A40">
        <v>38</v>
      </c>
      <c r="B40" t="s">
        <v>339</v>
      </c>
    </row>
    <row r="41" spans="1:2" x14ac:dyDescent="0.2">
      <c r="A41">
        <v>39</v>
      </c>
      <c r="B41" t="s">
        <v>339</v>
      </c>
    </row>
    <row r="42" spans="1:2" x14ac:dyDescent="0.2">
      <c r="A42">
        <v>40</v>
      </c>
      <c r="B42" t="s">
        <v>339</v>
      </c>
    </row>
    <row r="43" spans="1:2" x14ac:dyDescent="0.2">
      <c r="A43">
        <v>41</v>
      </c>
      <c r="B43" t="s">
        <v>339</v>
      </c>
    </row>
    <row r="44" spans="1:2" x14ac:dyDescent="0.2">
      <c r="A44">
        <v>42</v>
      </c>
      <c r="B44" t="s">
        <v>339</v>
      </c>
    </row>
    <row r="45" spans="1:2" x14ac:dyDescent="0.2">
      <c r="A45">
        <v>43</v>
      </c>
      <c r="B45" t="s">
        <v>339</v>
      </c>
    </row>
    <row r="46" spans="1:2" x14ac:dyDescent="0.2">
      <c r="A46">
        <v>44</v>
      </c>
      <c r="B46" t="s">
        <v>339</v>
      </c>
    </row>
    <row r="47" spans="1:2" x14ac:dyDescent="0.2">
      <c r="A47">
        <v>45</v>
      </c>
      <c r="B47" t="s">
        <v>339</v>
      </c>
    </row>
    <row r="48" spans="1:2" x14ac:dyDescent="0.2">
      <c r="A48">
        <v>46</v>
      </c>
      <c r="B48" t="s">
        <v>339</v>
      </c>
    </row>
    <row r="49" spans="1:2" x14ac:dyDescent="0.2">
      <c r="A49">
        <v>47</v>
      </c>
      <c r="B49" t="s">
        <v>339</v>
      </c>
    </row>
    <row r="50" spans="1:2" x14ac:dyDescent="0.2">
      <c r="A50">
        <v>48</v>
      </c>
      <c r="B50" t="s">
        <v>339</v>
      </c>
    </row>
    <row r="51" spans="1:2" x14ac:dyDescent="0.2">
      <c r="A51">
        <v>49</v>
      </c>
      <c r="B51" t="s">
        <v>339</v>
      </c>
    </row>
    <row r="52" spans="1:2" x14ac:dyDescent="0.2">
      <c r="A52">
        <v>50</v>
      </c>
      <c r="B52" t="s">
        <v>341</v>
      </c>
    </row>
    <row r="53" spans="1:2" x14ac:dyDescent="0.2">
      <c r="A53">
        <v>51</v>
      </c>
      <c r="B53" t="s">
        <v>341</v>
      </c>
    </row>
    <row r="54" spans="1:2" x14ac:dyDescent="0.2">
      <c r="A54">
        <v>52</v>
      </c>
      <c r="B54" t="s">
        <v>341</v>
      </c>
    </row>
    <row r="55" spans="1:2" x14ac:dyDescent="0.2">
      <c r="A55">
        <v>53</v>
      </c>
      <c r="B55" t="s">
        <v>341</v>
      </c>
    </row>
    <row r="56" spans="1:2" x14ac:dyDescent="0.2">
      <c r="A56">
        <v>54</v>
      </c>
      <c r="B56" t="s">
        <v>341</v>
      </c>
    </row>
    <row r="57" spans="1:2" x14ac:dyDescent="0.2">
      <c r="A57">
        <v>55</v>
      </c>
      <c r="B57" t="s">
        <v>341</v>
      </c>
    </row>
    <row r="58" spans="1:2" x14ac:dyDescent="0.2">
      <c r="A58">
        <v>56</v>
      </c>
      <c r="B58" t="s">
        <v>341</v>
      </c>
    </row>
    <row r="59" spans="1:2" x14ac:dyDescent="0.2">
      <c r="A59">
        <v>57</v>
      </c>
      <c r="B59" t="s">
        <v>341</v>
      </c>
    </row>
    <row r="60" spans="1:2" x14ac:dyDescent="0.2">
      <c r="A60">
        <v>58</v>
      </c>
      <c r="B60" t="s">
        <v>341</v>
      </c>
    </row>
    <row r="61" spans="1:2" x14ac:dyDescent="0.2">
      <c r="A61">
        <v>59</v>
      </c>
      <c r="B61" t="s">
        <v>341</v>
      </c>
    </row>
    <row r="62" spans="1:2" x14ac:dyDescent="0.2">
      <c r="A62">
        <v>60</v>
      </c>
      <c r="B62" t="s">
        <v>341</v>
      </c>
    </row>
    <row r="63" spans="1:2" x14ac:dyDescent="0.2">
      <c r="A63">
        <v>61</v>
      </c>
      <c r="B63" t="s">
        <v>341</v>
      </c>
    </row>
    <row r="64" spans="1:2" x14ac:dyDescent="0.2">
      <c r="A64">
        <v>62</v>
      </c>
      <c r="B64" t="s">
        <v>341</v>
      </c>
    </row>
    <row r="65" spans="1:2" x14ac:dyDescent="0.2">
      <c r="A65">
        <v>63</v>
      </c>
      <c r="B65" t="s">
        <v>341</v>
      </c>
    </row>
    <row r="66" spans="1:2" x14ac:dyDescent="0.2">
      <c r="A66">
        <v>64</v>
      </c>
      <c r="B66" t="s">
        <v>341</v>
      </c>
    </row>
    <row r="67" spans="1:2" x14ac:dyDescent="0.2">
      <c r="A67">
        <v>65</v>
      </c>
      <c r="B67" t="s">
        <v>341</v>
      </c>
    </row>
    <row r="68" spans="1:2" x14ac:dyDescent="0.2">
      <c r="A68">
        <v>66</v>
      </c>
      <c r="B68" t="s">
        <v>341</v>
      </c>
    </row>
    <row r="69" spans="1:2" x14ac:dyDescent="0.2">
      <c r="A69">
        <v>67</v>
      </c>
      <c r="B69" t="s">
        <v>341</v>
      </c>
    </row>
    <row r="70" spans="1:2" x14ac:dyDescent="0.2">
      <c r="A70">
        <v>68</v>
      </c>
      <c r="B70" t="s">
        <v>341</v>
      </c>
    </row>
    <row r="71" spans="1:2" x14ac:dyDescent="0.2">
      <c r="A71">
        <v>69</v>
      </c>
      <c r="B71" t="s">
        <v>341</v>
      </c>
    </row>
    <row r="72" spans="1:2" x14ac:dyDescent="0.2">
      <c r="A72">
        <v>70</v>
      </c>
      <c r="B72" t="s">
        <v>341</v>
      </c>
    </row>
    <row r="73" spans="1:2" x14ac:dyDescent="0.2">
      <c r="A73">
        <v>71</v>
      </c>
      <c r="B73" t="s">
        <v>341</v>
      </c>
    </row>
    <row r="74" spans="1:2" x14ac:dyDescent="0.2">
      <c r="A74">
        <v>72</v>
      </c>
      <c r="B74" t="s">
        <v>341</v>
      </c>
    </row>
    <row r="75" spans="1:2" x14ac:dyDescent="0.2">
      <c r="A75">
        <v>73</v>
      </c>
      <c r="B75" t="s">
        <v>341</v>
      </c>
    </row>
    <row r="76" spans="1:2" x14ac:dyDescent="0.2">
      <c r="A76">
        <v>74</v>
      </c>
      <c r="B76" t="s">
        <v>341</v>
      </c>
    </row>
    <row r="77" spans="1:2" x14ac:dyDescent="0.2">
      <c r="A77">
        <v>75</v>
      </c>
      <c r="B77" t="s">
        <v>341</v>
      </c>
    </row>
    <row r="78" spans="1:2" x14ac:dyDescent="0.2">
      <c r="A78">
        <v>76</v>
      </c>
      <c r="B78" t="s">
        <v>341</v>
      </c>
    </row>
    <row r="79" spans="1:2" x14ac:dyDescent="0.2">
      <c r="A79">
        <v>77</v>
      </c>
      <c r="B79" t="s">
        <v>341</v>
      </c>
    </row>
    <row r="80" spans="1:2" x14ac:dyDescent="0.2">
      <c r="A80">
        <v>78</v>
      </c>
      <c r="B80" t="s">
        <v>341</v>
      </c>
    </row>
    <row r="81" spans="1:2" x14ac:dyDescent="0.2">
      <c r="A81">
        <v>79</v>
      </c>
      <c r="B81" t="s">
        <v>341</v>
      </c>
    </row>
    <row r="82" spans="1:2" x14ac:dyDescent="0.2">
      <c r="A82">
        <v>80</v>
      </c>
      <c r="B82" t="s">
        <v>341</v>
      </c>
    </row>
    <row r="83" spans="1:2" x14ac:dyDescent="0.2">
      <c r="A83">
        <v>81</v>
      </c>
      <c r="B83" t="s">
        <v>341</v>
      </c>
    </row>
    <row r="84" spans="1:2" x14ac:dyDescent="0.2">
      <c r="A84">
        <v>82</v>
      </c>
      <c r="B84" t="s">
        <v>341</v>
      </c>
    </row>
    <row r="85" spans="1:2" x14ac:dyDescent="0.2">
      <c r="A85">
        <v>83</v>
      </c>
      <c r="B85" t="s">
        <v>341</v>
      </c>
    </row>
    <row r="86" spans="1:2" x14ac:dyDescent="0.2">
      <c r="A86">
        <v>84</v>
      </c>
      <c r="B86" t="s">
        <v>341</v>
      </c>
    </row>
    <row r="87" spans="1:2" x14ac:dyDescent="0.2">
      <c r="A87">
        <v>85</v>
      </c>
      <c r="B87" t="s">
        <v>341</v>
      </c>
    </row>
    <row r="88" spans="1:2" x14ac:dyDescent="0.2">
      <c r="A88">
        <v>86</v>
      </c>
      <c r="B88" t="s">
        <v>341</v>
      </c>
    </row>
    <row r="89" spans="1:2" x14ac:dyDescent="0.2">
      <c r="A89">
        <v>87</v>
      </c>
      <c r="B89" t="s">
        <v>341</v>
      </c>
    </row>
    <row r="90" spans="1:2" x14ac:dyDescent="0.2">
      <c r="A90">
        <v>88</v>
      </c>
      <c r="B90" t="s">
        <v>341</v>
      </c>
    </row>
    <row r="91" spans="1:2" x14ac:dyDescent="0.2">
      <c r="A91">
        <v>89</v>
      </c>
      <c r="B91" t="s">
        <v>341</v>
      </c>
    </row>
    <row r="92" spans="1:2" x14ac:dyDescent="0.2">
      <c r="A92">
        <v>90</v>
      </c>
      <c r="B92" t="s">
        <v>341</v>
      </c>
    </row>
    <row r="93" spans="1:2" x14ac:dyDescent="0.2">
      <c r="A93">
        <v>91</v>
      </c>
      <c r="B93" t="s">
        <v>341</v>
      </c>
    </row>
    <row r="94" spans="1:2" x14ac:dyDescent="0.2">
      <c r="A94">
        <v>92</v>
      </c>
      <c r="B94" t="s">
        <v>341</v>
      </c>
    </row>
    <row r="95" spans="1:2" x14ac:dyDescent="0.2">
      <c r="A95">
        <v>93</v>
      </c>
      <c r="B95" t="s">
        <v>341</v>
      </c>
    </row>
    <row r="96" spans="1:2" x14ac:dyDescent="0.2">
      <c r="A96">
        <v>94</v>
      </c>
      <c r="B96" t="s">
        <v>341</v>
      </c>
    </row>
    <row r="97" spans="1:2" x14ac:dyDescent="0.2">
      <c r="A97">
        <v>95</v>
      </c>
      <c r="B97" t="s">
        <v>341</v>
      </c>
    </row>
    <row r="98" spans="1:2" x14ac:dyDescent="0.2">
      <c r="A98">
        <v>96</v>
      </c>
      <c r="B98" t="s">
        <v>341</v>
      </c>
    </row>
    <row r="99" spans="1:2" x14ac:dyDescent="0.2">
      <c r="A99">
        <v>97</v>
      </c>
      <c r="B99" t="s">
        <v>341</v>
      </c>
    </row>
    <row r="100" spans="1:2" x14ac:dyDescent="0.2">
      <c r="A100">
        <v>98</v>
      </c>
      <c r="B100" t="s">
        <v>341</v>
      </c>
    </row>
    <row r="101" spans="1:2" x14ac:dyDescent="0.2">
      <c r="A101">
        <v>99</v>
      </c>
      <c r="B101" t="s">
        <v>341</v>
      </c>
    </row>
    <row r="102" spans="1:2" x14ac:dyDescent="0.2">
      <c r="A102">
        <v>100</v>
      </c>
      <c r="B102" t="s">
        <v>343</v>
      </c>
    </row>
    <row r="103" spans="1:2" x14ac:dyDescent="0.2">
      <c r="A103">
        <v>101</v>
      </c>
      <c r="B103" t="s">
        <v>343</v>
      </c>
    </row>
    <row r="104" spans="1:2" x14ac:dyDescent="0.2">
      <c r="A104">
        <v>102</v>
      </c>
      <c r="B104" t="s">
        <v>343</v>
      </c>
    </row>
    <row r="105" spans="1:2" x14ac:dyDescent="0.2">
      <c r="A105">
        <v>103</v>
      </c>
      <c r="B105" t="s">
        <v>343</v>
      </c>
    </row>
    <row r="106" spans="1:2" x14ac:dyDescent="0.2">
      <c r="A106">
        <v>104</v>
      </c>
      <c r="B106" t="s">
        <v>343</v>
      </c>
    </row>
    <row r="107" spans="1:2" x14ac:dyDescent="0.2">
      <c r="A107">
        <v>105</v>
      </c>
      <c r="B107" t="s">
        <v>343</v>
      </c>
    </row>
    <row r="108" spans="1:2" x14ac:dyDescent="0.2">
      <c r="A108">
        <v>106</v>
      </c>
      <c r="B108" t="s">
        <v>343</v>
      </c>
    </row>
    <row r="109" spans="1:2" x14ac:dyDescent="0.2">
      <c r="A109">
        <v>107</v>
      </c>
      <c r="B109" t="s">
        <v>343</v>
      </c>
    </row>
    <row r="110" spans="1:2" x14ac:dyDescent="0.2">
      <c r="A110">
        <v>108</v>
      </c>
      <c r="B110" t="s">
        <v>343</v>
      </c>
    </row>
    <row r="111" spans="1:2" x14ac:dyDescent="0.2">
      <c r="A111">
        <v>109</v>
      </c>
      <c r="B111" t="s">
        <v>343</v>
      </c>
    </row>
    <row r="112" spans="1:2" x14ac:dyDescent="0.2">
      <c r="A112">
        <v>110</v>
      </c>
      <c r="B112" t="s">
        <v>343</v>
      </c>
    </row>
    <row r="113" spans="1:2" x14ac:dyDescent="0.2">
      <c r="A113">
        <v>111</v>
      </c>
      <c r="B113" t="s">
        <v>343</v>
      </c>
    </row>
    <row r="114" spans="1:2" x14ac:dyDescent="0.2">
      <c r="A114">
        <v>112</v>
      </c>
      <c r="B114" t="s">
        <v>343</v>
      </c>
    </row>
    <row r="115" spans="1:2" x14ac:dyDescent="0.2">
      <c r="A115">
        <v>113</v>
      </c>
      <c r="B115" t="s">
        <v>343</v>
      </c>
    </row>
    <row r="116" spans="1:2" x14ac:dyDescent="0.2">
      <c r="A116">
        <v>114</v>
      </c>
      <c r="B116" t="s">
        <v>343</v>
      </c>
    </row>
    <row r="117" spans="1:2" x14ac:dyDescent="0.2">
      <c r="A117">
        <v>115</v>
      </c>
      <c r="B117" t="s">
        <v>343</v>
      </c>
    </row>
    <row r="118" spans="1:2" x14ac:dyDescent="0.2">
      <c r="A118">
        <v>116</v>
      </c>
      <c r="B118" t="s">
        <v>343</v>
      </c>
    </row>
    <row r="119" spans="1:2" x14ac:dyDescent="0.2">
      <c r="A119">
        <v>117</v>
      </c>
      <c r="B119" t="s">
        <v>343</v>
      </c>
    </row>
    <row r="120" spans="1:2" x14ac:dyDescent="0.2">
      <c r="A120">
        <v>118</v>
      </c>
      <c r="B120" t="s">
        <v>343</v>
      </c>
    </row>
    <row r="121" spans="1:2" x14ac:dyDescent="0.2">
      <c r="A121">
        <v>119</v>
      </c>
      <c r="B121" t="s">
        <v>343</v>
      </c>
    </row>
    <row r="122" spans="1:2" x14ac:dyDescent="0.2">
      <c r="A122">
        <v>120</v>
      </c>
      <c r="B122" t="s">
        <v>343</v>
      </c>
    </row>
    <row r="123" spans="1:2" x14ac:dyDescent="0.2">
      <c r="A123">
        <v>121</v>
      </c>
      <c r="B123" t="s">
        <v>343</v>
      </c>
    </row>
    <row r="124" spans="1:2" x14ac:dyDescent="0.2">
      <c r="A124">
        <v>122</v>
      </c>
      <c r="B124" t="s">
        <v>343</v>
      </c>
    </row>
    <row r="125" spans="1:2" x14ac:dyDescent="0.2">
      <c r="A125">
        <v>123</v>
      </c>
      <c r="B125" t="s">
        <v>343</v>
      </c>
    </row>
    <row r="126" spans="1:2" x14ac:dyDescent="0.2">
      <c r="A126">
        <v>124</v>
      </c>
      <c r="B126" t="s">
        <v>343</v>
      </c>
    </row>
    <row r="127" spans="1:2" x14ac:dyDescent="0.2">
      <c r="A127">
        <v>125</v>
      </c>
      <c r="B127" t="s">
        <v>343</v>
      </c>
    </row>
    <row r="128" spans="1:2" x14ac:dyDescent="0.2">
      <c r="A128">
        <v>126</v>
      </c>
      <c r="B128" t="s">
        <v>343</v>
      </c>
    </row>
    <row r="129" spans="1:2" x14ac:dyDescent="0.2">
      <c r="A129">
        <v>127</v>
      </c>
      <c r="B129" t="s">
        <v>343</v>
      </c>
    </row>
    <row r="130" spans="1:2" x14ac:dyDescent="0.2">
      <c r="A130">
        <v>128</v>
      </c>
      <c r="B130" t="s">
        <v>343</v>
      </c>
    </row>
    <row r="131" spans="1:2" x14ac:dyDescent="0.2">
      <c r="A131">
        <v>129</v>
      </c>
      <c r="B131" t="s">
        <v>343</v>
      </c>
    </row>
    <row r="132" spans="1:2" x14ac:dyDescent="0.2">
      <c r="A132">
        <v>130</v>
      </c>
      <c r="B132" t="s">
        <v>343</v>
      </c>
    </row>
    <row r="133" spans="1:2" x14ac:dyDescent="0.2">
      <c r="A133">
        <v>131</v>
      </c>
      <c r="B133" t="s">
        <v>343</v>
      </c>
    </row>
    <row r="134" spans="1:2" x14ac:dyDescent="0.2">
      <c r="A134">
        <v>132</v>
      </c>
      <c r="B134" t="s">
        <v>343</v>
      </c>
    </row>
    <row r="135" spans="1:2" x14ac:dyDescent="0.2">
      <c r="A135">
        <v>133</v>
      </c>
      <c r="B135" t="s">
        <v>343</v>
      </c>
    </row>
    <row r="136" spans="1:2" x14ac:dyDescent="0.2">
      <c r="A136">
        <v>134</v>
      </c>
      <c r="B136" t="s">
        <v>343</v>
      </c>
    </row>
    <row r="137" spans="1:2" x14ac:dyDescent="0.2">
      <c r="A137">
        <v>135</v>
      </c>
      <c r="B137" t="s">
        <v>343</v>
      </c>
    </row>
    <row r="138" spans="1:2" x14ac:dyDescent="0.2">
      <c r="A138">
        <v>136</v>
      </c>
      <c r="B138" t="s">
        <v>343</v>
      </c>
    </row>
    <row r="139" spans="1:2" x14ac:dyDescent="0.2">
      <c r="A139">
        <v>137</v>
      </c>
      <c r="B139" t="s">
        <v>343</v>
      </c>
    </row>
    <row r="140" spans="1:2" x14ac:dyDescent="0.2">
      <c r="A140">
        <v>138</v>
      </c>
      <c r="B140" t="s">
        <v>343</v>
      </c>
    </row>
    <row r="141" spans="1:2" x14ac:dyDescent="0.2">
      <c r="A141">
        <v>139</v>
      </c>
      <c r="B141" t="s">
        <v>343</v>
      </c>
    </row>
    <row r="142" spans="1:2" x14ac:dyDescent="0.2">
      <c r="A142">
        <v>140</v>
      </c>
      <c r="B142" t="s">
        <v>343</v>
      </c>
    </row>
    <row r="143" spans="1:2" x14ac:dyDescent="0.2">
      <c r="A143">
        <v>141</v>
      </c>
      <c r="B143" t="s">
        <v>343</v>
      </c>
    </row>
    <row r="144" spans="1:2" x14ac:dyDescent="0.2">
      <c r="A144">
        <v>142</v>
      </c>
      <c r="B144" t="s">
        <v>343</v>
      </c>
    </row>
    <row r="145" spans="1:2" x14ac:dyDescent="0.2">
      <c r="A145">
        <v>143</v>
      </c>
      <c r="B145" t="s">
        <v>343</v>
      </c>
    </row>
    <row r="146" spans="1:2" x14ac:dyDescent="0.2">
      <c r="A146">
        <v>144</v>
      </c>
      <c r="B146" t="s">
        <v>343</v>
      </c>
    </row>
    <row r="147" spans="1:2" x14ac:dyDescent="0.2">
      <c r="A147">
        <v>145</v>
      </c>
      <c r="B147" t="s">
        <v>343</v>
      </c>
    </row>
    <row r="148" spans="1:2" x14ac:dyDescent="0.2">
      <c r="A148">
        <v>146</v>
      </c>
      <c r="B148" t="s">
        <v>343</v>
      </c>
    </row>
    <row r="149" spans="1:2" x14ac:dyDescent="0.2">
      <c r="A149">
        <v>147</v>
      </c>
      <c r="B149" t="s">
        <v>343</v>
      </c>
    </row>
    <row r="150" spans="1:2" x14ac:dyDescent="0.2">
      <c r="A150">
        <v>148</v>
      </c>
      <c r="B150" t="s">
        <v>343</v>
      </c>
    </row>
    <row r="151" spans="1:2" x14ac:dyDescent="0.2">
      <c r="A151">
        <v>149</v>
      </c>
      <c r="B151" t="s">
        <v>343</v>
      </c>
    </row>
    <row r="152" spans="1:2" x14ac:dyDescent="0.2">
      <c r="A152">
        <v>150</v>
      </c>
      <c r="B152" t="s">
        <v>345</v>
      </c>
    </row>
    <row r="153" spans="1:2" x14ac:dyDescent="0.2">
      <c r="A153">
        <v>151</v>
      </c>
      <c r="B153" t="s">
        <v>345</v>
      </c>
    </row>
    <row r="154" spans="1:2" x14ac:dyDescent="0.2">
      <c r="A154">
        <v>152</v>
      </c>
      <c r="B154" t="s">
        <v>345</v>
      </c>
    </row>
    <row r="155" spans="1:2" x14ac:dyDescent="0.2">
      <c r="A155">
        <v>153</v>
      </c>
      <c r="B155" t="s">
        <v>345</v>
      </c>
    </row>
    <row r="156" spans="1:2" x14ac:dyDescent="0.2">
      <c r="A156">
        <v>154</v>
      </c>
      <c r="B156" t="s">
        <v>345</v>
      </c>
    </row>
    <row r="157" spans="1:2" x14ac:dyDescent="0.2">
      <c r="A157">
        <v>155</v>
      </c>
      <c r="B157" t="s">
        <v>345</v>
      </c>
    </row>
    <row r="158" spans="1:2" x14ac:dyDescent="0.2">
      <c r="A158">
        <v>156</v>
      </c>
      <c r="B158" t="s">
        <v>345</v>
      </c>
    </row>
    <row r="159" spans="1:2" x14ac:dyDescent="0.2">
      <c r="A159">
        <v>157</v>
      </c>
      <c r="B159" t="s">
        <v>345</v>
      </c>
    </row>
    <row r="160" spans="1:2" x14ac:dyDescent="0.2">
      <c r="A160">
        <v>158</v>
      </c>
      <c r="B160" t="s">
        <v>345</v>
      </c>
    </row>
    <row r="161" spans="1:2" x14ac:dyDescent="0.2">
      <c r="A161">
        <v>159</v>
      </c>
      <c r="B161" t="s">
        <v>345</v>
      </c>
    </row>
    <row r="162" spans="1:2" x14ac:dyDescent="0.2">
      <c r="A162">
        <v>160</v>
      </c>
      <c r="B162" t="s">
        <v>345</v>
      </c>
    </row>
    <row r="163" spans="1:2" x14ac:dyDescent="0.2">
      <c r="A163">
        <v>161</v>
      </c>
      <c r="B163" t="s">
        <v>345</v>
      </c>
    </row>
    <row r="164" spans="1:2" x14ac:dyDescent="0.2">
      <c r="A164">
        <v>162</v>
      </c>
      <c r="B164" t="s">
        <v>345</v>
      </c>
    </row>
    <row r="165" spans="1:2" x14ac:dyDescent="0.2">
      <c r="A165">
        <v>163</v>
      </c>
      <c r="B165" t="s">
        <v>345</v>
      </c>
    </row>
    <row r="166" spans="1:2" x14ac:dyDescent="0.2">
      <c r="A166">
        <v>164</v>
      </c>
      <c r="B166" t="s">
        <v>345</v>
      </c>
    </row>
    <row r="167" spans="1:2" x14ac:dyDescent="0.2">
      <c r="A167">
        <v>165</v>
      </c>
      <c r="B167" t="s">
        <v>345</v>
      </c>
    </row>
    <row r="168" spans="1:2" x14ac:dyDescent="0.2">
      <c r="A168">
        <v>166</v>
      </c>
      <c r="B168" t="s">
        <v>345</v>
      </c>
    </row>
    <row r="169" spans="1:2" x14ac:dyDescent="0.2">
      <c r="A169">
        <v>167</v>
      </c>
      <c r="B169" t="s">
        <v>345</v>
      </c>
    </row>
    <row r="170" spans="1:2" x14ac:dyDescent="0.2">
      <c r="A170">
        <v>168</v>
      </c>
      <c r="B170" t="s">
        <v>345</v>
      </c>
    </row>
    <row r="171" spans="1:2" x14ac:dyDescent="0.2">
      <c r="A171">
        <v>169</v>
      </c>
      <c r="B171" t="s">
        <v>345</v>
      </c>
    </row>
    <row r="172" spans="1:2" x14ac:dyDescent="0.2">
      <c r="A172">
        <v>170</v>
      </c>
      <c r="B172" t="s">
        <v>345</v>
      </c>
    </row>
    <row r="173" spans="1:2" x14ac:dyDescent="0.2">
      <c r="A173">
        <v>171</v>
      </c>
      <c r="B173" t="s">
        <v>345</v>
      </c>
    </row>
    <row r="174" spans="1:2" x14ac:dyDescent="0.2">
      <c r="A174">
        <v>172</v>
      </c>
      <c r="B174" t="s">
        <v>345</v>
      </c>
    </row>
    <row r="175" spans="1:2" x14ac:dyDescent="0.2">
      <c r="A175">
        <v>173</v>
      </c>
      <c r="B175" t="s">
        <v>345</v>
      </c>
    </row>
    <row r="176" spans="1:2" x14ac:dyDescent="0.2">
      <c r="A176">
        <v>174</v>
      </c>
      <c r="B176" t="s">
        <v>345</v>
      </c>
    </row>
    <row r="177" spans="1:2" x14ac:dyDescent="0.2">
      <c r="A177">
        <v>175</v>
      </c>
      <c r="B177" t="s">
        <v>345</v>
      </c>
    </row>
    <row r="178" spans="1:2" x14ac:dyDescent="0.2">
      <c r="A178">
        <v>176</v>
      </c>
      <c r="B178" t="s">
        <v>345</v>
      </c>
    </row>
    <row r="179" spans="1:2" x14ac:dyDescent="0.2">
      <c r="A179">
        <v>177</v>
      </c>
      <c r="B179" t="s">
        <v>345</v>
      </c>
    </row>
    <row r="180" spans="1:2" x14ac:dyDescent="0.2">
      <c r="A180">
        <v>178</v>
      </c>
      <c r="B180" t="s">
        <v>345</v>
      </c>
    </row>
    <row r="181" spans="1:2" x14ac:dyDescent="0.2">
      <c r="A181">
        <v>179</v>
      </c>
      <c r="B181" t="s">
        <v>345</v>
      </c>
    </row>
    <row r="182" spans="1:2" x14ac:dyDescent="0.2">
      <c r="A182">
        <v>180</v>
      </c>
      <c r="B182" t="s">
        <v>345</v>
      </c>
    </row>
    <row r="183" spans="1:2" x14ac:dyDescent="0.2">
      <c r="A183">
        <v>181</v>
      </c>
      <c r="B183" t="s">
        <v>345</v>
      </c>
    </row>
    <row r="184" spans="1:2" x14ac:dyDescent="0.2">
      <c r="A184">
        <v>182</v>
      </c>
      <c r="B184" t="s">
        <v>345</v>
      </c>
    </row>
    <row r="185" spans="1:2" x14ac:dyDescent="0.2">
      <c r="A185">
        <v>183</v>
      </c>
      <c r="B185" t="s">
        <v>345</v>
      </c>
    </row>
    <row r="186" spans="1:2" x14ac:dyDescent="0.2">
      <c r="A186">
        <v>184</v>
      </c>
      <c r="B186" t="s">
        <v>345</v>
      </c>
    </row>
    <row r="187" spans="1:2" x14ac:dyDescent="0.2">
      <c r="A187">
        <v>185</v>
      </c>
      <c r="B187" t="s">
        <v>345</v>
      </c>
    </row>
    <row r="188" spans="1:2" x14ac:dyDescent="0.2">
      <c r="A188">
        <v>186</v>
      </c>
      <c r="B188" t="s">
        <v>345</v>
      </c>
    </row>
    <row r="189" spans="1:2" x14ac:dyDescent="0.2">
      <c r="A189">
        <v>187</v>
      </c>
      <c r="B189" t="s">
        <v>345</v>
      </c>
    </row>
    <row r="190" spans="1:2" x14ac:dyDescent="0.2">
      <c r="A190">
        <v>188</v>
      </c>
      <c r="B190" t="s">
        <v>345</v>
      </c>
    </row>
    <row r="191" spans="1:2" x14ac:dyDescent="0.2">
      <c r="A191">
        <v>189</v>
      </c>
      <c r="B191" t="s">
        <v>345</v>
      </c>
    </row>
    <row r="192" spans="1:2" x14ac:dyDescent="0.2">
      <c r="A192">
        <v>190</v>
      </c>
      <c r="B192" t="s">
        <v>345</v>
      </c>
    </row>
    <row r="193" spans="1:2" x14ac:dyDescent="0.2">
      <c r="A193">
        <v>191</v>
      </c>
      <c r="B193" t="s">
        <v>345</v>
      </c>
    </row>
    <row r="194" spans="1:2" x14ac:dyDescent="0.2">
      <c r="A194">
        <v>192</v>
      </c>
      <c r="B194" t="s">
        <v>345</v>
      </c>
    </row>
    <row r="195" spans="1:2" x14ac:dyDescent="0.2">
      <c r="A195">
        <v>193</v>
      </c>
      <c r="B195" t="s">
        <v>345</v>
      </c>
    </row>
    <row r="196" spans="1:2" x14ac:dyDescent="0.2">
      <c r="A196">
        <v>194</v>
      </c>
      <c r="B196" t="s">
        <v>345</v>
      </c>
    </row>
    <row r="197" spans="1:2" x14ac:dyDescent="0.2">
      <c r="A197">
        <v>195</v>
      </c>
      <c r="B197" t="s">
        <v>345</v>
      </c>
    </row>
    <row r="198" spans="1:2" x14ac:dyDescent="0.2">
      <c r="A198">
        <v>196</v>
      </c>
      <c r="B198" t="s">
        <v>345</v>
      </c>
    </row>
    <row r="199" spans="1:2" x14ac:dyDescent="0.2">
      <c r="A199">
        <v>197</v>
      </c>
      <c r="B199" t="s">
        <v>345</v>
      </c>
    </row>
    <row r="200" spans="1:2" x14ac:dyDescent="0.2">
      <c r="A200">
        <v>198</v>
      </c>
      <c r="B200" t="s">
        <v>345</v>
      </c>
    </row>
    <row r="201" spans="1:2" x14ac:dyDescent="0.2">
      <c r="A201">
        <v>199</v>
      </c>
      <c r="B201" t="s">
        <v>345</v>
      </c>
    </row>
  </sheetData>
  <pageMargins left="0.7" right="0.7" top="0.75" bottom="0.75" header="0.3" footer="0.3"/>
  <pageSetup paperSize="9" orientation="portrait" r:id="rId1"/>
  <headerFooter>
    <oddHeader>&amp;L&amp;"Calibri"&amp;10&amp;K000000Official&amp;1#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A2"/>
  <sheetViews>
    <sheetView workbookViewId="0"/>
  </sheetViews>
  <sheetFormatPr defaultRowHeight="12.75" x14ac:dyDescent="0.2"/>
  <sheetData>
    <row r="1" spans="1:1" x14ac:dyDescent="0.2">
      <c r="A1" t="s">
        <v>335</v>
      </c>
    </row>
    <row r="2" spans="1:1" x14ac:dyDescent="0.2">
      <c r="A2" t="s">
        <v>378</v>
      </c>
    </row>
  </sheetData>
  <pageMargins left="0.7" right="0.7" top="0.75" bottom="0.75" header="0.3" footer="0.3"/>
  <pageSetup paperSize="9" orientation="portrait" r:id="rId1"/>
  <headerFooter>
    <oddHeader>&amp;L&amp;"Calibri"&amp;10&amp;K000000Official&amp;1#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A2"/>
  <sheetViews>
    <sheetView workbookViewId="0"/>
  </sheetViews>
  <sheetFormatPr defaultRowHeight="12.75" x14ac:dyDescent="0.2"/>
  <sheetData>
    <row r="1" spans="1:1" x14ac:dyDescent="0.2">
      <c r="A1" t="s">
        <v>311</v>
      </c>
    </row>
    <row r="2" spans="1:1" x14ac:dyDescent="0.2">
      <c r="A2" t="s">
        <v>379</v>
      </c>
    </row>
  </sheetData>
  <pageMargins left="0.7" right="0.7" top="0.75" bottom="0.75" header="0.3" footer="0.3"/>
  <pageSetup paperSize="9" orientation="portrait" r:id="rId1"/>
  <headerFooter>
    <oddHeader>&amp;L&amp;"Calibri"&amp;10&amp;K000000Official&amp;1#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2:Q47"/>
  <sheetViews>
    <sheetView workbookViewId="0">
      <selection activeCell="E35" sqref="E35:H35"/>
    </sheetView>
  </sheetViews>
  <sheetFormatPr defaultRowHeight="12.75" x14ac:dyDescent="0.2"/>
  <cols>
    <col min="1" max="2" width="2.7109375" customWidth="1"/>
    <col min="3" max="3" width="9.140625" style="56"/>
    <col min="17" max="17" width="2.7109375" customWidth="1"/>
  </cols>
  <sheetData>
    <row r="2" spans="2:17" x14ac:dyDescent="0.2">
      <c r="B2" s="90"/>
      <c r="C2" s="105"/>
      <c r="D2" s="91"/>
      <c r="E2" s="91"/>
      <c r="F2" s="91"/>
      <c r="G2" s="91"/>
      <c r="H2" s="91"/>
      <c r="I2" s="91"/>
      <c r="J2" s="91"/>
      <c r="K2" s="91"/>
      <c r="L2" s="91"/>
      <c r="M2" s="91"/>
      <c r="N2" s="91"/>
      <c r="O2" s="91"/>
      <c r="P2" s="91"/>
      <c r="Q2" s="92"/>
    </row>
    <row r="3" spans="2:17" ht="19.5" thickBot="1" x14ac:dyDescent="0.3">
      <c r="B3" s="95"/>
      <c r="C3" s="106" t="s">
        <v>2</v>
      </c>
      <c r="D3" s="96"/>
      <c r="E3" s="96"/>
      <c r="F3" s="96"/>
      <c r="G3" s="96"/>
      <c r="H3" s="96"/>
      <c r="I3" s="96"/>
      <c r="J3" s="96"/>
      <c r="K3" s="96"/>
      <c r="L3" s="96"/>
      <c r="M3" s="96"/>
      <c r="N3" s="96"/>
      <c r="O3" s="96"/>
      <c r="P3" s="96"/>
      <c r="Q3" s="97"/>
    </row>
    <row r="4" spans="2:17" ht="13.5" thickTop="1" x14ac:dyDescent="0.2">
      <c r="B4" s="93"/>
      <c r="C4"/>
      <c r="Q4" s="94"/>
    </row>
    <row r="5" spans="2:17" ht="16.5" x14ac:dyDescent="0.25">
      <c r="B5" s="93"/>
      <c r="C5" s="3" t="s">
        <v>70</v>
      </c>
      <c r="Q5" s="94"/>
    </row>
    <row r="6" spans="2:17" x14ac:dyDescent="0.2">
      <c r="B6" s="93"/>
      <c r="Q6" s="94"/>
    </row>
    <row r="7" spans="2:17" ht="25.5" customHeight="1" x14ac:dyDescent="0.2">
      <c r="B7" s="93"/>
      <c r="C7" s="107" t="str">
        <f>1&amp;"."</f>
        <v>1.</v>
      </c>
      <c r="D7" s="226" t="s">
        <v>71</v>
      </c>
      <c r="E7" s="226"/>
      <c r="F7" s="226"/>
      <c r="G7" s="226"/>
      <c r="H7" s="226"/>
      <c r="I7" s="226"/>
      <c r="J7" s="226"/>
      <c r="K7" s="226"/>
      <c r="L7" s="226"/>
      <c r="M7" s="226"/>
      <c r="N7" s="226"/>
      <c r="O7" s="226"/>
      <c r="P7" s="226"/>
      <c r="Q7" s="94"/>
    </row>
    <row r="8" spans="2:17" x14ac:dyDescent="0.2">
      <c r="B8" s="93"/>
      <c r="C8" s="108"/>
      <c r="D8" s="226"/>
      <c r="E8" s="226"/>
      <c r="F8" s="226"/>
      <c r="G8" s="226"/>
      <c r="H8" s="226"/>
      <c r="I8" s="226"/>
      <c r="J8" s="226"/>
      <c r="K8" s="226"/>
      <c r="L8" s="226"/>
      <c r="M8" s="226"/>
      <c r="N8" s="226"/>
      <c r="O8" s="226"/>
      <c r="P8" s="226"/>
      <c r="Q8" s="94"/>
    </row>
    <row r="9" spans="2:17" ht="25.5" customHeight="1" x14ac:dyDescent="0.2">
      <c r="B9" s="93"/>
      <c r="C9" s="107" t="str">
        <f>(C7+1)&amp;"."</f>
        <v>2.</v>
      </c>
      <c r="D9" s="226" t="s">
        <v>72</v>
      </c>
      <c r="E9" s="226"/>
      <c r="F9" s="226"/>
      <c r="G9" s="226"/>
      <c r="H9" s="226"/>
      <c r="I9" s="226"/>
      <c r="J9" s="226"/>
      <c r="K9" s="226"/>
      <c r="L9" s="226"/>
      <c r="M9" s="226"/>
      <c r="N9" s="226"/>
      <c r="O9" s="226"/>
      <c r="P9" s="226"/>
      <c r="Q9" s="94"/>
    </row>
    <row r="10" spans="2:17" x14ac:dyDescent="0.2">
      <c r="B10" s="93"/>
      <c r="C10" s="108"/>
      <c r="D10" s="226"/>
      <c r="E10" s="226"/>
      <c r="F10" s="226"/>
      <c r="G10" s="226"/>
      <c r="H10" s="226"/>
      <c r="I10" s="226"/>
      <c r="J10" s="226"/>
      <c r="K10" s="226"/>
      <c r="L10" s="226"/>
      <c r="M10" s="226"/>
      <c r="N10" s="226"/>
      <c r="O10" s="226"/>
      <c r="P10" s="226"/>
      <c r="Q10" s="94"/>
    </row>
    <row r="11" spans="2:17" x14ac:dyDescent="0.2">
      <c r="B11" s="93"/>
      <c r="C11" s="107" t="str">
        <f>(C9+1)&amp;"."</f>
        <v>3.</v>
      </c>
      <c r="D11" s="226" t="s">
        <v>73</v>
      </c>
      <c r="E11" s="226"/>
      <c r="F11" s="226"/>
      <c r="G11" s="226"/>
      <c r="H11" s="226"/>
      <c r="I11" s="226"/>
      <c r="J11" s="226"/>
      <c r="K11" s="226"/>
      <c r="L11" s="226"/>
      <c r="M11" s="226"/>
      <c r="N11" s="226"/>
      <c r="O11" s="226"/>
      <c r="P11" s="226"/>
      <c r="Q11" s="94"/>
    </row>
    <row r="12" spans="2:17" x14ac:dyDescent="0.2">
      <c r="B12" s="93"/>
      <c r="C12" s="108"/>
      <c r="D12" s="226"/>
      <c r="E12" s="226"/>
      <c r="F12" s="226"/>
      <c r="G12" s="226"/>
      <c r="H12" s="226"/>
      <c r="I12" s="226"/>
      <c r="J12" s="226"/>
      <c r="K12" s="226"/>
      <c r="L12" s="226"/>
      <c r="M12" s="226"/>
      <c r="N12" s="226"/>
      <c r="O12" s="226"/>
      <c r="P12" s="226"/>
      <c r="Q12" s="94"/>
    </row>
    <row r="13" spans="2:17" ht="25.5" customHeight="1" x14ac:dyDescent="0.2">
      <c r="B13" s="93"/>
      <c r="C13" s="107" t="str">
        <f>(C11+1)&amp;"."</f>
        <v>4.</v>
      </c>
      <c r="D13" s="226" t="s">
        <v>74</v>
      </c>
      <c r="E13" s="226"/>
      <c r="F13" s="226"/>
      <c r="G13" s="226"/>
      <c r="H13" s="226"/>
      <c r="I13" s="226"/>
      <c r="J13" s="226"/>
      <c r="K13" s="226"/>
      <c r="L13" s="226"/>
      <c r="M13" s="226"/>
      <c r="N13" s="226"/>
      <c r="O13" s="226"/>
      <c r="P13" s="226"/>
      <c r="Q13" s="94"/>
    </row>
    <row r="14" spans="2:17" x14ac:dyDescent="0.2">
      <c r="B14" s="93"/>
      <c r="C14" s="108"/>
      <c r="D14" s="226"/>
      <c r="E14" s="226"/>
      <c r="F14" s="226"/>
      <c r="G14" s="226"/>
      <c r="H14" s="226"/>
      <c r="I14" s="226"/>
      <c r="J14" s="226"/>
      <c r="K14" s="226"/>
      <c r="L14" s="226"/>
      <c r="M14" s="226"/>
      <c r="N14" s="226"/>
      <c r="O14" s="226"/>
      <c r="P14" s="226"/>
      <c r="Q14" s="94"/>
    </row>
    <row r="15" spans="2:17" ht="16.5" x14ac:dyDescent="0.2">
      <c r="B15" s="90"/>
      <c r="C15" s="110" t="s">
        <v>75</v>
      </c>
      <c r="D15" s="111"/>
      <c r="E15" s="111"/>
      <c r="F15" s="111"/>
      <c r="G15" s="111"/>
      <c r="H15" s="111"/>
      <c r="I15" s="111"/>
      <c r="J15" s="111"/>
      <c r="K15" s="111"/>
      <c r="L15" s="111"/>
      <c r="M15" s="111"/>
      <c r="N15" s="111"/>
      <c r="O15" s="111"/>
      <c r="P15" s="111"/>
      <c r="Q15" s="92"/>
    </row>
    <row r="16" spans="2:17" x14ac:dyDescent="0.2">
      <c r="B16" s="93"/>
      <c r="C16" s="108"/>
      <c r="D16" s="8"/>
      <c r="E16" s="8"/>
      <c r="F16" s="8"/>
      <c r="G16" s="8"/>
      <c r="H16" s="8"/>
      <c r="I16" s="8"/>
      <c r="J16" s="8"/>
      <c r="K16" s="8"/>
      <c r="L16" s="8"/>
      <c r="M16" s="8"/>
      <c r="N16" s="8"/>
      <c r="O16" s="8"/>
      <c r="P16" s="8"/>
      <c r="Q16" s="94"/>
    </row>
    <row r="17" spans="2:17" ht="12.75" customHeight="1" x14ac:dyDescent="0.2">
      <c r="B17" s="93"/>
      <c r="C17" s="107" t="str">
        <f>(C13+1)&amp;"."</f>
        <v>5.</v>
      </c>
      <c r="D17" s="224" t="s">
        <v>76</v>
      </c>
      <c r="E17" s="224"/>
      <c r="F17" s="224"/>
      <c r="G17" s="224"/>
      <c r="H17" s="224"/>
      <c r="I17" s="224"/>
      <c r="J17" s="224"/>
      <c r="K17" s="224"/>
      <c r="L17" s="224"/>
      <c r="M17" s="224"/>
      <c r="N17" s="8"/>
      <c r="O17" s="227" t="s">
        <v>77</v>
      </c>
      <c r="P17" s="227"/>
      <c r="Q17" s="94"/>
    </row>
    <row r="18" spans="2:17" x14ac:dyDescent="0.2">
      <c r="B18" s="93"/>
      <c r="C18" s="108"/>
      <c r="D18" s="226"/>
      <c r="E18" s="226"/>
      <c r="F18" s="226"/>
      <c r="G18" s="226"/>
      <c r="H18" s="226"/>
      <c r="I18" s="226"/>
      <c r="J18" s="226"/>
      <c r="K18" s="226"/>
      <c r="L18" s="226"/>
      <c r="M18" s="226"/>
      <c r="N18" s="226"/>
      <c r="O18" s="226"/>
      <c r="P18" s="226"/>
      <c r="Q18" s="94"/>
    </row>
    <row r="19" spans="2:17" ht="12.75" customHeight="1" x14ac:dyDescent="0.2">
      <c r="B19" s="93"/>
      <c r="C19" s="107" t="str">
        <f>(C17+1)&amp;"."</f>
        <v>6.</v>
      </c>
      <c r="D19" s="224" t="s">
        <v>78</v>
      </c>
      <c r="E19" s="224"/>
      <c r="F19" s="224"/>
      <c r="G19" s="224"/>
      <c r="H19" s="224"/>
      <c r="I19" s="224"/>
      <c r="J19" s="224"/>
      <c r="K19" s="224"/>
      <c r="L19" s="224"/>
      <c r="M19" s="224"/>
      <c r="N19" s="224"/>
      <c r="O19" s="228" t="s">
        <v>79</v>
      </c>
      <c r="P19" s="228"/>
      <c r="Q19" s="94"/>
    </row>
    <row r="20" spans="2:17" x14ac:dyDescent="0.2">
      <c r="B20" s="93"/>
      <c r="C20" s="107"/>
      <c r="D20" s="8"/>
      <c r="E20" s="8"/>
      <c r="F20" s="8"/>
      <c r="G20" s="8"/>
      <c r="H20" s="8"/>
      <c r="I20" s="8"/>
      <c r="J20" s="8"/>
      <c r="K20" s="8"/>
      <c r="L20" s="8"/>
      <c r="M20" s="8"/>
      <c r="N20" s="8"/>
      <c r="O20" s="8"/>
      <c r="P20" s="8"/>
      <c r="Q20" s="94"/>
    </row>
    <row r="21" spans="2:17" x14ac:dyDescent="0.2">
      <c r="B21" s="93"/>
      <c r="C21" s="107" t="str">
        <f>(C19+1)&amp;"."</f>
        <v>7.</v>
      </c>
      <c r="D21" s="224" t="s">
        <v>80</v>
      </c>
      <c r="E21" s="224"/>
      <c r="F21" s="224"/>
      <c r="G21" s="224"/>
      <c r="H21" s="224"/>
      <c r="I21" s="224"/>
      <c r="J21" s="224"/>
      <c r="K21" s="224"/>
      <c r="L21" s="224"/>
      <c r="O21" s="229" t="s">
        <v>81</v>
      </c>
      <c r="P21" s="229"/>
      <c r="Q21" s="94"/>
    </row>
    <row r="22" spans="2:17" x14ac:dyDescent="0.2">
      <c r="B22" s="93"/>
      <c r="C22" s="107"/>
      <c r="D22" s="8"/>
      <c r="E22" s="8"/>
      <c r="F22" s="8"/>
      <c r="G22" s="8"/>
      <c r="H22" s="8"/>
      <c r="I22" s="8"/>
      <c r="J22" s="8"/>
      <c r="K22" s="8"/>
      <c r="L22" s="8"/>
      <c r="M22" s="8"/>
      <c r="N22" s="8"/>
      <c r="O22" s="8"/>
      <c r="P22" s="8"/>
      <c r="Q22" s="94"/>
    </row>
    <row r="23" spans="2:17" x14ac:dyDescent="0.2">
      <c r="B23" s="93"/>
      <c r="C23" s="107" t="str">
        <f>(C21+1)&amp;"."</f>
        <v>8.</v>
      </c>
      <c r="D23" s="226" t="s">
        <v>82</v>
      </c>
      <c r="E23" s="226"/>
      <c r="F23" s="226"/>
      <c r="G23" s="226"/>
      <c r="H23" s="226"/>
      <c r="I23" s="226"/>
      <c r="J23" s="226"/>
      <c r="K23" s="226"/>
      <c r="L23" s="226"/>
      <c r="M23" s="226"/>
      <c r="N23" s="226"/>
      <c r="O23" s="226"/>
      <c r="P23" s="226"/>
      <c r="Q23" s="94"/>
    </row>
    <row r="24" spans="2:17" x14ac:dyDescent="0.2">
      <c r="B24" s="93"/>
      <c r="C24" s="108"/>
      <c r="D24" s="226"/>
      <c r="E24" s="226"/>
      <c r="F24" s="226"/>
      <c r="G24" s="226"/>
      <c r="H24" s="226"/>
      <c r="I24" s="226"/>
      <c r="J24" s="226"/>
      <c r="K24" s="226"/>
      <c r="L24" s="226"/>
      <c r="M24" s="226"/>
      <c r="N24" s="226"/>
      <c r="O24" s="226"/>
      <c r="P24" s="226"/>
      <c r="Q24" s="94"/>
    </row>
    <row r="25" spans="2:17" x14ac:dyDescent="0.2">
      <c r="B25" s="93"/>
      <c r="C25" s="107" t="str">
        <f>(C23+1)&amp;"."</f>
        <v>9.</v>
      </c>
      <c r="D25" s="226" t="s">
        <v>83</v>
      </c>
      <c r="E25" s="226"/>
      <c r="F25" s="226"/>
      <c r="G25" s="226"/>
      <c r="H25" s="226"/>
      <c r="I25" s="226"/>
      <c r="J25" s="226"/>
      <c r="K25" s="226"/>
      <c r="L25" s="226"/>
      <c r="M25" s="226"/>
      <c r="N25" s="226"/>
      <c r="O25" s="226"/>
      <c r="P25" s="226"/>
      <c r="Q25" s="94"/>
    </row>
    <row r="26" spans="2:17" x14ac:dyDescent="0.2">
      <c r="B26" s="93"/>
      <c r="C26" s="107"/>
      <c r="D26" s="8"/>
      <c r="E26" s="8"/>
      <c r="F26" s="8"/>
      <c r="G26" s="8"/>
      <c r="H26" s="8"/>
      <c r="I26" s="8"/>
      <c r="J26" s="8"/>
      <c r="K26" s="8"/>
      <c r="L26" s="8"/>
      <c r="M26" s="8"/>
      <c r="N26" s="8"/>
      <c r="O26" s="8"/>
      <c r="P26" s="8"/>
      <c r="Q26" s="94"/>
    </row>
    <row r="27" spans="2:17" ht="16.5" x14ac:dyDescent="0.2">
      <c r="B27" s="90"/>
      <c r="C27" s="112" t="s">
        <v>84</v>
      </c>
      <c r="D27" s="111"/>
      <c r="E27" s="111"/>
      <c r="F27" s="111"/>
      <c r="G27" s="111"/>
      <c r="H27" s="111"/>
      <c r="I27" s="111"/>
      <c r="J27" s="111"/>
      <c r="K27" s="111"/>
      <c r="L27" s="111"/>
      <c r="M27" s="111"/>
      <c r="N27" s="111"/>
      <c r="O27" s="111"/>
      <c r="P27" s="111"/>
      <c r="Q27" s="92"/>
    </row>
    <row r="28" spans="2:17" x14ac:dyDescent="0.2">
      <c r="B28" s="93"/>
      <c r="C28" s="107"/>
      <c r="D28" s="8"/>
      <c r="E28" s="8"/>
      <c r="F28" s="8"/>
      <c r="G28" s="8"/>
      <c r="H28" s="8"/>
      <c r="I28" s="8"/>
      <c r="J28" s="8"/>
      <c r="K28" s="8"/>
      <c r="L28" s="8"/>
      <c r="M28" s="8"/>
      <c r="N28" s="8"/>
      <c r="O28" s="8"/>
      <c r="P28" s="8"/>
      <c r="Q28" s="94"/>
    </row>
    <row r="29" spans="2:17" ht="25.5" customHeight="1" x14ac:dyDescent="0.2">
      <c r="B29" s="93"/>
      <c r="C29" s="107" t="str">
        <f>(C25+1)&amp;"."</f>
        <v>10.</v>
      </c>
      <c r="D29" s="226" t="s">
        <v>85</v>
      </c>
      <c r="E29" s="226"/>
      <c r="F29" s="226"/>
      <c r="G29" s="226"/>
      <c r="H29" s="226"/>
      <c r="I29" s="226"/>
      <c r="J29" s="226"/>
      <c r="K29" s="226"/>
      <c r="L29" s="226"/>
      <c r="M29" s="226"/>
      <c r="N29" s="226"/>
      <c r="O29" s="226"/>
      <c r="P29" s="226"/>
      <c r="Q29" s="94"/>
    </row>
    <row r="30" spans="2:17" x14ac:dyDescent="0.2">
      <c r="B30" s="93"/>
      <c r="C30" s="107"/>
      <c r="D30" s="8"/>
      <c r="E30" s="8"/>
      <c r="F30" s="8"/>
      <c r="G30" s="8"/>
      <c r="H30" s="8"/>
      <c r="I30" s="8"/>
      <c r="J30" s="8"/>
      <c r="K30" s="8"/>
      <c r="L30" s="8"/>
      <c r="M30" s="8"/>
      <c r="N30" s="8"/>
      <c r="O30" s="8"/>
      <c r="P30" s="8"/>
      <c r="Q30" s="94"/>
    </row>
    <row r="31" spans="2:17" ht="16.5" x14ac:dyDescent="0.2">
      <c r="B31" s="90"/>
      <c r="C31" s="110" t="s">
        <v>86</v>
      </c>
      <c r="D31" s="113"/>
      <c r="E31" s="113"/>
      <c r="F31" s="113"/>
      <c r="G31" s="113"/>
      <c r="H31" s="113"/>
      <c r="I31" s="113"/>
      <c r="J31" s="113"/>
      <c r="K31" s="113"/>
      <c r="L31" s="113"/>
      <c r="M31" s="113"/>
      <c r="N31" s="113"/>
      <c r="O31" s="113"/>
      <c r="P31" s="113"/>
      <c r="Q31" s="92"/>
    </row>
    <row r="32" spans="2:17" x14ac:dyDescent="0.2">
      <c r="B32" s="93"/>
      <c r="C32" s="108"/>
      <c r="D32" s="226"/>
      <c r="E32" s="226"/>
      <c r="F32" s="226"/>
      <c r="G32" s="226"/>
      <c r="H32" s="226"/>
      <c r="I32" s="226"/>
      <c r="J32" s="226"/>
      <c r="K32" s="226"/>
      <c r="L32" s="226"/>
      <c r="M32" s="226"/>
      <c r="N32" s="226"/>
      <c r="O32" s="226"/>
      <c r="P32" s="226"/>
      <c r="Q32" s="94"/>
    </row>
    <row r="33" spans="2:17" x14ac:dyDescent="0.2">
      <c r="B33" s="93"/>
      <c r="C33" s="107" t="str">
        <f>(C29+1)&amp;"."</f>
        <v>11.</v>
      </c>
      <c r="D33" s="224" t="s">
        <v>87</v>
      </c>
      <c r="E33" s="224"/>
      <c r="F33" s="224"/>
      <c r="G33" s="224"/>
      <c r="H33" s="224"/>
      <c r="I33" s="224"/>
      <c r="J33" s="224"/>
      <c r="K33" s="224"/>
      <c r="L33" s="224"/>
      <c r="O33" s="9"/>
      <c r="P33" s="9"/>
      <c r="Q33" s="94"/>
    </row>
    <row r="34" spans="2:17" x14ac:dyDescent="0.2">
      <c r="B34" s="93"/>
      <c r="Q34" s="94"/>
    </row>
    <row r="35" spans="2:17" x14ac:dyDescent="0.2">
      <c r="B35" s="93"/>
      <c r="D35" t="s">
        <v>88</v>
      </c>
      <c r="E35" s="219" t="s">
        <v>89</v>
      </c>
      <c r="F35" s="219"/>
      <c r="G35" s="219"/>
      <c r="H35" s="219"/>
      <c r="Q35" s="94"/>
    </row>
    <row r="36" spans="2:17" x14ac:dyDescent="0.2">
      <c r="B36" s="93"/>
      <c r="D36" t="s">
        <v>90</v>
      </c>
      <c r="E36" s="225" t="s">
        <v>91</v>
      </c>
      <c r="F36" s="225"/>
      <c r="Q36" s="94"/>
    </row>
    <row r="37" spans="2:17" x14ac:dyDescent="0.2">
      <c r="B37" s="101"/>
      <c r="C37" s="109"/>
      <c r="D37" s="102"/>
      <c r="E37" s="102"/>
      <c r="F37" s="102"/>
      <c r="G37" s="102"/>
      <c r="H37" s="102"/>
      <c r="I37" s="102"/>
      <c r="J37" s="102"/>
      <c r="K37" s="102"/>
      <c r="L37" s="102"/>
      <c r="M37" s="102"/>
      <c r="N37" s="102"/>
      <c r="O37" s="102"/>
      <c r="P37" s="102"/>
      <c r="Q37" s="103"/>
    </row>
    <row r="40" spans="2:17" x14ac:dyDescent="0.2">
      <c r="M40" s="9"/>
    </row>
    <row r="47" spans="2:17" x14ac:dyDescent="0.2">
      <c r="C47" s="194"/>
    </row>
  </sheetData>
  <sheetProtection algorithmName="SHA-512" hashValue="jMmu9/7ExDtrYThhovneMPrJ+7dLTrMaQOm/VBlebE41WkUNHEsrqCEJVO972RUscPt9j4SfD3UjCI1N1PfiYg==" saltValue="s6rKAN9nJT3M7Cer4QgX3w==" spinCount="100000" sheet="1" selectLockedCells="1"/>
  <mergeCells count="23">
    <mergeCell ref="D12:P12"/>
    <mergeCell ref="O17:P17"/>
    <mergeCell ref="D17:M17"/>
    <mergeCell ref="D32:P32"/>
    <mergeCell ref="O19:P19"/>
    <mergeCell ref="D23:P23"/>
    <mergeCell ref="D24:P24"/>
    <mergeCell ref="D25:P25"/>
    <mergeCell ref="D21:L21"/>
    <mergeCell ref="D19:N19"/>
    <mergeCell ref="O21:P21"/>
    <mergeCell ref="D7:P7"/>
    <mergeCell ref="D8:P8"/>
    <mergeCell ref="D9:P9"/>
    <mergeCell ref="D10:P10"/>
    <mergeCell ref="D11:P11"/>
    <mergeCell ref="D33:L33"/>
    <mergeCell ref="E36:F36"/>
    <mergeCell ref="E35:H35"/>
    <mergeCell ref="D13:P13"/>
    <mergeCell ref="D14:P14"/>
    <mergeCell ref="D18:P18"/>
    <mergeCell ref="D29:P29"/>
  </mergeCells>
  <hyperlinks>
    <hyperlink ref="E35" r:id="rId1" xr:uid="{00000000-0004-0000-0100-000000000000}"/>
  </hyperlinks>
  <pageMargins left="0.39370078740157483" right="0.39370078740157483" top="0.39370078740157483" bottom="0.39370078740157483" header="0.19685039370078741" footer="0.19685039370078741"/>
  <pageSetup paperSize="9" scale="99" orientation="landscape" r:id="rId2"/>
  <headerFooter>
    <oddHeader>&amp;L&amp;"Calibri"&amp;10&amp;K000000Official&amp;1#_x000D_&amp;"Calibri"&amp;11&amp;K000000&amp;9&amp;F</oddHeader>
    <oddFooter>&amp;R&amp;9Page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C51"/>
  <sheetViews>
    <sheetView workbookViewId="0"/>
  </sheetViews>
  <sheetFormatPr defaultColWidth="9.140625" defaultRowHeight="20.25" x14ac:dyDescent="0.3"/>
  <cols>
    <col min="1" max="1" width="9.140625" style="33"/>
    <col min="2" max="3" width="21.28515625" style="32" customWidth="1"/>
    <col min="4" max="9" width="8.7109375" style="32" customWidth="1"/>
    <col min="10" max="10" width="14.7109375" style="32" customWidth="1"/>
    <col min="11" max="29" width="9.140625" style="33"/>
    <col min="30" max="16384" width="9.140625" style="32"/>
  </cols>
  <sheetData>
    <row r="1" spans="1:10" x14ac:dyDescent="0.3">
      <c r="B1" s="416" t="s">
        <v>380</v>
      </c>
      <c r="C1" s="416"/>
      <c r="D1" s="416"/>
      <c r="E1" s="416"/>
      <c r="F1" s="416"/>
      <c r="G1" s="416"/>
      <c r="H1" s="416"/>
      <c r="I1" s="416"/>
      <c r="J1" s="416"/>
    </row>
    <row r="2" spans="1:10" ht="9.75" customHeight="1" x14ac:dyDescent="0.3">
      <c r="B2" s="33"/>
      <c r="C2" s="33"/>
      <c r="D2" s="33"/>
      <c r="E2" s="33"/>
      <c r="F2" s="33"/>
      <c r="G2" s="33"/>
      <c r="H2" s="33"/>
      <c r="I2" s="33"/>
      <c r="J2" s="33"/>
    </row>
    <row r="3" spans="1:10" x14ac:dyDescent="0.3">
      <c r="A3" s="34"/>
      <c r="B3" s="43" t="s">
        <v>381</v>
      </c>
      <c r="C3" s="424"/>
      <c r="D3" s="424"/>
      <c r="E3" s="424"/>
      <c r="F3" s="424"/>
      <c r="G3" s="424"/>
      <c r="H3" s="424"/>
      <c r="I3" s="424"/>
      <c r="J3" s="425"/>
    </row>
    <row r="4" spans="1:10" ht="6.75" customHeight="1" x14ac:dyDescent="0.3">
      <c r="A4" s="34"/>
      <c r="B4" s="44"/>
      <c r="C4" s="44"/>
      <c r="D4" s="44"/>
      <c r="E4" s="44"/>
      <c r="F4" s="44"/>
      <c r="G4" s="44"/>
      <c r="H4" s="44"/>
      <c r="I4" s="44"/>
      <c r="J4" s="44"/>
    </row>
    <row r="5" spans="1:10" x14ac:dyDescent="0.3">
      <c r="A5" s="34"/>
      <c r="B5" s="43" t="s">
        <v>382</v>
      </c>
      <c r="C5" s="424"/>
      <c r="D5" s="424"/>
      <c r="E5" s="424"/>
      <c r="F5" s="424"/>
      <c r="G5" s="424"/>
      <c r="H5" s="424"/>
      <c r="I5" s="424"/>
      <c r="J5" s="425"/>
    </row>
    <row r="6" spans="1:10" ht="7.5" customHeight="1" x14ac:dyDescent="0.3">
      <c r="A6" s="34"/>
      <c r="B6" s="34"/>
      <c r="C6" s="34"/>
      <c r="D6" s="34"/>
      <c r="E6" s="34"/>
      <c r="F6" s="34"/>
      <c r="G6" s="34"/>
      <c r="H6" s="34"/>
      <c r="I6" s="34"/>
      <c r="J6" s="34"/>
    </row>
    <row r="7" spans="1:10" x14ac:dyDescent="0.3">
      <c r="A7" s="34"/>
      <c r="B7" s="417" t="s">
        <v>110</v>
      </c>
      <c r="C7" s="417" t="s">
        <v>111</v>
      </c>
      <c r="D7" s="421" t="s">
        <v>383</v>
      </c>
      <c r="E7" s="422"/>
      <c r="F7" s="422"/>
      <c r="G7" s="422"/>
      <c r="H7" s="422"/>
      <c r="I7" s="423"/>
      <c r="J7" s="419" t="s">
        <v>120</v>
      </c>
    </row>
    <row r="8" spans="1:10" x14ac:dyDescent="0.3">
      <c r="A8" s="34"/>
      <c r="B8" s="418"/>
      <c r="C8" s="418"/>
      <c r="D8" s="40">
        <v>0</v>
      </c>
      <c r="E8" s="40">
        <v>1</v>
      </c>
      <c r="F8" s="40">
        <v>2</v>
      </c>
      <c r="G8" s="40">
        <v>3</v>
      </c>
      <c r="H8" s="40">
        <v>4</v>
      </c>
      <c r="I8" s="42" t="s">
        <v>384</v>
      </c>
      <c r="J8" s="420"/>
    </row>
    <row r="9" spans="1:10" x14ac:dyDescent="0.3">
      <c r="A9" s="34"/>
      <c r="B9" s="415" t="s">
        <v>121</v>
      </c>
      <c r="C9" s="41" t="s">
        <v>122</v>
      </c>
      <c r="D9" s="55">
        <f>'Development Details'!G28</f>
        <v>0</v>
      </c>
      <c r="E9" s="55">
        <f>'Development Details'!H28</f>
        <v>0</v>
      </c>
      <c r="F9" s="55">
        <f>'Development Details'!I28</f>
        <v>0</v>
      </c>
      <c r="G9" s="55">
        <f>'Development Details'!J28</f>
        <v>0</v>
      </c>
      <c r="H9" s="55">
        <f>'Development Details'!K28</f>
        <v>0</v>
      </c>
      <c r="I9" s="55">
        <f>'Development Details'!L28</f>
        <v>0</v>
      </c>
      <c r="J9" s="40">
        <f t="shared" ref="J9:J16" si="0">SUM(D9:I9)</f>
        <v>0</v>
      </c>
    </row>
    <row r="10" spans="1:10" x14ac:dyDescent="0.3">
      <c r="A10" s="34"/>
      <c r="B10" s="415"/>
      <c r="C10" s="41" t="s">
        <v>123</v>
      </c>
      <c r="D10" s="55">
        <f>'Development Details'!G29</f>
        <v>0</v>
      </c>
      <c r="E10" s="55">
        <f>'Development Details'!H29</f>
        <v>0</v>
      </c>
      <c r="F10" s="55">
        <f>'Development Details'!I29</f>
        <v>0</v>
      </c>
      <c r="G10" s="55">
        <f>'Development Details'!J29</f>
        <v>0</v>
      </c>
      <c r="H10" s="55">
        <f>'Development Details'!K29</f>
        <v>0</v>
      </c>
      <c r="I10" s="55">
        <f>'Development Details'!L29</f>
        <v>0</v>
      </c>
      <c r="J10" s="40">
        <f t="shared" si="0"/>
        <v>0</v>
      </c>
    </row>
    <row r="11" spans="1:10" x14ac:dyDescent="0.3">
      <c r="A11" s="34"/>
      <c r="B11" s="415"/>
      <c r="C11" s="41" t="s">
        <v>385</v>
      </c>
      <c r="D11" s="55">
        <f>'Development Details'!G30</f>
        <v>0</v>
      </c>
      <c r="E11" s="55">
        <f>'Development Details'!H30</f>
        <v>0</v>
      </c>
      <c r="F11" s="55">
        <f>'Development Details'!I30</f>
        <v>0</v>
      </c>
      <c r="G11" s="55">
        <f>'Development Details'!J30</f>
        <v>0</v>
      </c>
      <c r="H11" s="55">
        <f>'Development Details'!K30</f>
        <v>0</v>
      </c>
      <c r="I11" s="55">
        <f>'Development Details'!L30</f>
        <v>0</v>
      </c>
      <c r="J11" s="40">
        <f t="shared" si="0"/>
        <v>0</v>
      </c>
    </row>
    <row r="12" spans="1:10" x14ac:dyDescent="0.3">
      <c r="A12" s="34"/>
      <c r="B12" s="415"/>
      <c r="C12" s="40" t="s">
        <v>120</v>
      </c>
      <c r="D12" s="40">
        <f t="shared" ref="D12:I12" si="1">SUM(D9:D11)</f>
        <v>0</v>
      </c>
      <c r="E12" s="40">
        <f t="shared" si="1"/>
        <v>0</v>
      </c>
      <c r="F12" s="40">
        <f t="shared" si="1"/>
        <v>0</v>
      </c>
      <c r="G12" s="40">
        <f t="shared" si="1"/>
        <v>0</v>
      </c>
      <c r="H12" s="40">
        <f t="shared" si="1"/>
        <v>0</v>
      </c>
      <c r="I12" s="40">
        <f t="shared" si="1"/>
        <v>0</v>
      </c>
      <c r="J12" s="40">
        <f t="shared" si="0"/>
        <v>0</v>
      </c>
    </row>
    <row r="13" spans="1:10" x14ac:dyDescent="0.3">
      <c r="A13" s="34"/>
      <c r="B13" s="415" t="s">
        <v>125</v>
      </c>
      <c r="C13" s="41" t="s">
        <v>122</v>
      </c>
      <c r="D13" s="55">
        <f>'Development Details'!G32</f>
        <v>0</v>
      </c>
      <c r="E13" s="55">
        <f>'Development Details'!H32</f>
        <v>0</v>
      </c>
      <c r="F13" s="55">
        <f>'Development Details'!I32</f>
        <v>0</v>
      </c>
      <c r="G13" s="55">
        <f>'Development Details'!J32</f>
        <v>0</v>
      </c>
      <c r="H13" s="55">
        <f>'Development Details'!K32</f>
        <v>0</v>
      </c>
      <c r="I13" s="55">
        <f>'Development Details'!L32</f>
        <v>0</v>
      </c>
      <c r="J13" s="40">
        <f t="shared" si="0"/>
        <v>0</v>
      </c>
    </row>
    <row r="14" spans="1:10" x14ac:dyDescent="0.3">
      <c r="A14" s="34"/>
      <c r="B14" s="415"/>
      <c r="C14" s="41" t="s">
        <v>123</v>
      </c>
      <c r="D14" s="55">
        <f>'Development Details'!G33</f>
        <v>0</v>
      </c>
      <c r="E14" s="55">
        <f>'Development Details'!H33</f>
        <v>0</v>
      </c>
      <c r="F14" s="55">
        <f>'Development Details'!I33</f>
        <v>0</v>
      </c>
      <c r="G14" s="55">
        <f>'Development Details'!J33</f>
        <v>0</v>
      </c>
      <c r="H14" s="55">
        <f>'Development Details'!K33</f>
        <v>0</v>
      </c>
      <c r="I14" s="55">
        <f>'Development Details'!L33</f>
        <v>0</v>
      </c>
      <c r="J14" s="40">
        <f t="shared" si="0"/>
        <v>0</v>
      </c>
    </row>
    <row r="15" spans="1:10" x14ac:dyDescent="0.3">
      <c r="A15" s="34"/>
      <c r="B15" s="415"/>
      <c r="C15" s="41" t="s">
        <v>385</v>
      </c>
      <c r="D15" s="55">
        <f>'Development Details'!G34</f>
        <v>0</v>
      </c>
      <c r="E15" s="55">
        <f>'Development Details'!H34</f>
        <v>0</v>
      </c>
      <c r="F15" s="55">
        <f>'Development Details'!I34</f>
        <v>0</v>
      </c>
      <c r="G15" s="55">
        <f>'Development Details'!J34</f>
        <v>0</v>
      </c>
      <c r="H15" s="55">
        <f>'Development Details'!K34</f>
        <v>0</v>
      </c>
      <c r="I15" s="55">
        <f>'Development Details'!L34</f>
        <v>0</v>
      </c>
      <c r="J15" s="40">
        <f t="shared" si="0"/>
        <v>0</v>
      </c>
    </row>
    <row r="16" spans="1:10" x14ac:dyDescent="0.3">
      <c r="A16" s="34"/>
      <c r="B16" s="415"/>
      <c r="C16" s="40" t="s">
        <v>120</v>
      </c>
      <c r="D16" s="40">
        <f t="shared" ref="D16:I16" si="2">SUM(D13:D15)</f>
        <v>0</v>
      </c>
      <c r="E16" s="40">
        <f t="shared" si="2"/>
        <v>0</v>
      </c>
      <c r="F16" s="40">
        <f t="shared" si="2"/>
        <v>0</v>
      </c>
      <c r="G16" s="40">
        <f t="shared" si="2"/>
        <v>0</v>
      </c>
      <c r="H16" s="40">
        <f t="shared" si="2"/>
        <v>0</v>
      </c>
      <c r="I16" s="40">
        <f t="shared" si="2"/>
        <v>0</v>
      </c>
      <c r="J16" s="40">
        <f t="shared" si="0"/>
        <v>0</v>
      </c>
    </row>
    <row r="17" spans="1:10" x14ac:dyDescent="0.3">
      <c r="A17" s="34"/>
      <c r="B17" s="413" t="s">
        <v>120</v>
      </c>
      <c r="C17" s="414"/>
      <c r="D17" s="40">
        <f t="shared" ref="D17:J17" si="3">+D16+D12</f>
        <v>0</v>
      </c>
      <c r="E17" s="40">
        <f t="shared" si="3"/>
        <v>0</v>
      </c>
      <c r="F17" s="40">
        <f t="shared" si="3"/>
        <v>0</v>
      </c>
      <c r="G17" s="40">
        <f t="shared" si="3"/>
        <v>0</v>
      </c>
      <c r="H17" s="40">
        <f t="shared" si="3"/>
        <v>0</v>
      </c>
      <c r="I17" s="40">
        <f t="shared" si="3"/>
        <v>0</v>
      </c>
      <c r="J17" s="40">
        <f t="shared" si="3"/>
        <v>0</v>
      </c>
    </row>
    <row r="18" spans="1:10" ht="14.25" customHeight="1" x14ac:dyDescent="0.3">
      <c r="A18" s="34"/>
      <c r="B18" s="34"/>
      <c r="C18" s="34"/>
      <c r="D18" s="34"/>
      <c r="E18" s="34"/>
      <c r="F18" s="34"/>
      <c r="G18" s="34"/>
      <c r="H18" s="34"/>
      <c r="I18" s="34"/>
      <c r="J18" s="34"/>
    </row>
    <row r="19" spans="1:10" x14ac:dyDescent="0.3">
      <c r="A19" s="34"/>
      <c r="B19" s="38" t="s">
        <v>386</v>
      </c>
      <c r="C19" s="38" t="s">
        <v>387</v>
      </c>
      <c r="D19" s="37"/>
      <c r="E19" s="37"/>
      <c r="F19" s="37"/>
      <c r="G19" s="34"/>
      <c r="H19" s="34"/>
      <c r="I19" s="34"/>
      <c r="J19" s="34"/>
    </row>
    <row r="20" spans="1:10" x14ac:dyDescent="0.3">
      <c r="A20" s="34"/>
      <c r="B20" s="38" t="e">
        <f>(J10+J11+J14+J15)/J17</f>
        <v>#DIV/0!</v>
      </c>
      <c r="C20" s="39" t="e">
        <f>1-C21</f>
        <v>#DIV/0!</v>
      </c>
      <c r="D20" s="412" t="s">
        <v>123</v>
      </c>
      <c r="E20" s="412"/>
      <c r="F20" s="412"/>
      <c r="G20" s="34"/>
      <c r="H20" s="34"/>
      <c r="I20" s="34"/>
      <c r="J20" s="34"/>
    </row>
    <row r="21" spans="1:10" x14ac:dyDescent="0.3">
      <c r="A21" s="34"/>
      <c r="B21" s="37"/>
      <c r="C21" s="38" t="e">
        <f>(J11+J15)/(J10+J11+J14+J15)</f>
        <v>#DIV/0!</v>
      </c>
      <c r="D21" s="37" t="s">
        <v>385</v>
      </c>
      <c r="E21" s="37"/>
      <c r="F21" s="37"/>
      <c r="G21" s="34"/>
      <c r="H21" s="34"/>
      <c r="I21" s="34"/>
      <c r="J21" s="34"/>
    </row>
    <row r="22" spans="1:10" ht="4.5" customHeight="1" x14ac:dyDescent="0.3">
      <c r="A22" s="34"/>
      <c r="B22" s="34"/>
      <c r="C22" s="34"/>
      <c r="D22" s="34"/>
      <c r="E22" s="34"/>
      <c r="F22" s="34"/>
      <c r="G22" s="34"/>
      <c r="H22" s="34"/>
      <c r="I22" s="34"/>
      <c r="J22" s="34"/>
    </row>
    <row r="23" spans="1:10" ht="16.5" customHeight="1" x14ac:dyDescent="0.3">
      <c r="A23" s="34"/>
      <c r="B23" s="36" t="s">
        <v>2</v>
      </c>
      <c r="C23" s="34"/>
      <c r="D23" s="34"/>
      <c r="E23" s="34"/>
      <c r="F23" s="34"/>
      <c r="G23" s="34"/>
      <c r="H23" s="34"/>
      <c r="I23" s="34"/>
      <c r="J23" s="34"/>
    </row>
    <row r="24" spans="1:10" x14ac:dyDescent="0.3">
      <c r="A24" s="34"/>
      <c r="B24" s="35" t="s">
        <v>388</v>
      </c>
      <c r="C24" s="34"/>
      <c r="D24" s="34"/>
      <c r="E24" s="34"/>
      <c r="F24" s="34"/>
      <c r="G24" s="34"/>
      <c r="H24" s="34"/>
      <c r="I24" s="34"/>
      <c r="J24" s="34"/>
    </row>
    <row r="25" spans="1:10" x14ac:dyDescent="0.3">
      <c r="A25" s="34"/>
      <c r="B25" s="35" t="s">
        <v>389</v>
      </c>
      <c r="C25" s="34"/>
      <c r="D25" s="34"/>
      <c r="E25" s="34"/>
      <c r="F25" s="34"/>
      <c r="G25" s="34"/>
      <c r="H25" s="34"/>
      <c r="I25" s="34"/>
      <c r="J25" s="34"/>
    </row>
    <row r="26" spans="1:10" x14ac:dyDescent="0.3">
      <c r="A26" s="34"/>
      <c r="B26" s="35" t="s">
        <v>390</v>
      </c>
      <c r="C26" s="34"/>
      <c r="D26" s="34"/>
      <c r="E26" s="34"/>
      <c r="F26" s="34"/>
      <c r="G26" s="34"/>
      <c r="H26" s="34"/>
      <c r="I26" s="34"/>
      <c r="J26" s="34"/>
    </row>
    <row r="27" spans="1:10" x14ac:dyDescent="0.3">
      <c r="B27" s="33"/>
      <c r="C27" s="33"/>
      <c r="D27" s="33"/>
      <c r="E27" s="33"/>
      <c r="F27" s="33"/>
      <c r="G27" s="33"/>
      <c r="H27" s="33"/>
      <c r="I27" s="33"/>
      <c r="J27" s="33"/>
    </row>
    <row r="28" spans="1:10" x14ac:dyDescent="0.3">
      <c r="B28" s="33"/>
      <c r="C28" s="33"/>
      <c r="D28" s="33"/>
      <c r="E28" s="33"/>
      <c r="F28" s="33"/>
      <c r="G28" s="33"/>
      <c r="H28" s="33"/>
      <c r="I28" s="33"/>
      <c r="J28" s="33"/>
    </row>
    <row r="29" spans="1:10" x14ac:dyDescent="0.3">
      <c r="B29" s="33"/>
      <c r="C29" s="33"/>
      <c r="D29" s="33"/>
      <c r="E29" s="33"/>
      <c r="F29" s="33"/>
      <c r="G29" s="33"/>
      <c r="H29" s="33"/>
      <c r="I29" s="33"/>
      <c r="J29" s="33"/>
    </row>
    <row r="30" spans="1:10" x14ac:dyDescent="0.3">
      <c r="B30" s="33"/>
      <c r="C30" s="33"/>
      <c r="D30" s="33"/>
      <c r="E30" s="33"/>
      <c r="F30" s="33"/>
      <c r="G30" s="33"/>
      <c r="H30" s="33"/>
      <c r="I30" s="33"/>
      <c r="J30" s="33"/>
    </row>
    <row r="31" spans="1:10" x14ac:dyDescent="0.3">
      <c r="B31" s="33"/>
      <c r="C31" s="33"/>
      <c r="D31" s="33"/>
      <c r="E31" s="33"/>
      <c r="F31" s="33"/>
      <c r="G31" s="33"/>
      <c r="H31" s="33"/>
      <c r="I31" s="33"/>
      <c r="J31" s="33"/>
    </row>
    <row r="32" spans="1:10" x14ac:dyDescent="0.3">
      <c r="B32" s="33"/>
      <c r="C32" s="33"/>
      <c r="D32" s="33"/>
      <c r="E32" s="33"/>
      <c r="F32" s="33"/>
      <c r="G32" s="33"/>
      <c r="H32" s="33"/>
      <c r="I32" s="33"/>
      <c r="J32" s="33"/>
    </row>
    <row r="33" s="33" customFormat="1" x14ac:dyDescent="0.3"/>
    <row r="34" s="33" customFormat="1" x14ac:dyDescent="0.3"/>
    <row r="35" s="33" customFormat="1" x14ac:dyDescent="0.3"/>
    <row r="36" s="33" customFormat="1" x14ac:dyDescent="0.3"/>
    <row r="37" s="33" customFormat="1" x14ac:dyDescent="0.3"/>
    <row r="38" s="33" customFormat="1" x14ac:dyDescent="0.3"/>
    <row r="39" s="33" customFormat="1" x14ac:dyDescent="0.3"/>
    <row r="40" s="33" customFormat="1" x14ac:dyDescent="0.3"/>
    <row r="41" s="33" customFormat="1" x14ac:dyDescent="0.3"/>
    <row r="42" s="33" customFormat="1" x14ac:dyDescent="0.3"/>
    <row r="43" s="33" customFormat="1" x14ac:dyDescent="0.3"/>
    <row r="44" s="33" customFormat="1" x14ac:dyDescent="0.3"/>
    <row r="45" s="33" customFormat="1" x14ac:dyDescent="0.3"/>
    <row r="46" s="33" customFormat="1" x14ac:dyDescent="0.3"/>
    <row r="47" s="33" customFormat="1" x14ac:dyDescent="0.3"/>
    <row r="48" s="33" customFormat="1" x14ac:dyDescent="0.3"/>
    <row r="49" s="33" customFormat="1" x14ac:dyDescent="0.3"/>
    <row r="50" s="33" customFormat="1" x14ac:dyDescent="0.3"/>
    <row r="51" s="33" customFormat="1" x14ac:dyDescent="0.3"/>
  </sheetData>
  <sheetProtection selectLockedCells="1"/>
  <mergeCells count="11">
    <mergeCell ref="D20:F20"/>
    <mergeCell ref="B17:C17"/>
    <mergeCell ref="B9:B12"/>
    <mergeCell ref="B13:B16"/>
    <mergeCell ref="B1:J1"/>
    <mergeCell ref="B7:B8"/>
    <mergeCell ref="C7:C8"/>
    <mergeCell ref="J7:J8"/>
    <mergeCell ref="D7:I7"/>
    <mergeCell ref="C3:J3"/>
    <mergeCell ref="C5:J5"/>
  </mergeCells>
  <pageMargins left="0.75" right="0.75" top="1" bottom="1" header="0.5" footer="0.5"/>
  <pageSetup paperSize="9" orientation="landscape" r:id="rId1"/>
  <headerFooter alignWithMargins="0">
    <oddHeader>&amp;L&amp;"Calibri"&amp;10&amp;K000000Official&amp;1#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AG54"/>
  <sheetViews>
    <sheetView workbookViewId="0"/>
  </sheetViews>
  <sheetFormatPr defaultColWidth="9.140625" defaultRowHeight="20.25" x14ac:dyDescent="0.3"/>
  <cols>
    <col min="1" max="1" width="9.140625" style="33"/>
    <col min="2" max="2" width="13.42578125" style="32" customWidth="1"/>
    <col min="3" max="3" width="13.7109375" style="32" customWidth="1"/>
    <col min="4" max="4" width="19.5703125" style="32" customWidth="1"/>
    <col min="5" max="5" width="21.42578125" style="32" customWidth="1"/>
    <col min="6" max="6" width="10.7109375" style="32" customWidth="1"/>
    <col min="7" max="7" width="9.140625" style="33"/>
    <col min="8" max="8" width="10.42578125" style="33" customWidth="1"/>
    <col min="9" max="9" width="13.7109375" style="33" customWidth="1"/>
    <col min="10" max="10" width="19.5703125" style="33" customWidth="1"/>
    <col min="11" max="11" width="21.42578125" style="33" customWidth="1"/>
    <col min="12" max="12" width="10.7109375" style="33" customWidth="1"/>
    <col min="13" max="33" width="9.140625" style="33"/>
    <col min="34" max="16384" width="9.140625" style="32"/>
  </cols>
  <sheetData>
    <row r="1" spans="2:12" ht="23.25" x14ac:dyDescent="0.35">
      <c r="B1" s="427">
        <f>+'Population Development Matrix'!C3</f>
        <v>0</v>
      </c>
      <c r="C1" s="427"/>
      <c r="D1" s="427"/>
      <c r="E1" s="427"/>
      <c r="F1" s="427"/>
      <c r="G1" s="427"/>
      <c r="H1" s="427"/>
      <c r="I1" s="427"/>
      <c r="J1" s="427"/>
      <c r="K1" s="428">
        <f>+'Population Development Matrix'!C5</f>
        <v>0</v>
      </c>
      <c r="L1" s="428"/>
    </row>
    <row r="2" spans="2:12" ht="6.75" customHeight="1" x14ac:dyDescent="0.35">
      <c r="B2" s="53"/>
      <c r="C2" s="53"/>
      <c r="D2" s="53"/>
      <c r="E2" s="53"/>
      <c r="F2" s="53"/>
      <c r="G2" s="53"/>
      <c r="H2" s="53"/>
      <c r="I2" s="53"/>
      <c r="J2" s="53"/>
      <c r="K2" s="53"/>
      <c r="L2" s="53"/>
    </row>
    <row r="3" spans="2:12" ht="12" customHeight="1" x14ac:dyDescent="0.3">
      <c r="B3" s="33"/>
      <c r="C3" s="33"/>
      <c r="D3" s="33"/>
      <c r="E3" s="33"/>
      <c r="F3" s="33"/>
    </row>
    <row r="4" spans="2:12" x14ac:dyDescent="0.3">
      <c r="B4" s="416" t="s">
        <v>391</v>
      </c>
      <c r="C4" s="416"/>
      <c r="D4" s="416"/>
      <c r="E4" s="416"/>
      <c r="F4" s="416"/>
      <c r="H4" s="416" t="s">
        <v>392</v>
      </c>
      <c r="I4" s="416"/>
      <c r="J4" s="416"/>
      <c r="K4" s="416"/>
      <c r="L4" s="416"/>
    </row>
    <row r="5" spans="2:12" x14ac:dyDescent="0.3">
      <c r="B5" s="33"/>
      <c r="C5" s="33"/>
      <c r="D5" s="31"/>
      <c r="E5" s="33"/>
      <c r="F5" s="33"/>
      <c r="J5" s="31"/>
    </row>
    <row r="6" spans="2:12" x14ac:dyDescent="0.3">
      <c r="B6" s="51" t="s">
        <v>257</v>
      </c>
      <c r="C6" s="47" t="s">
        <v>122</v>
      </c>
      <c r="D6" s="47" t="s">
        <v>123</v>
      </c>
      <c r="E6" s="47" t="s">
        <v>385</v>
      </c>
      <c r="F6" s="50" t="s">
        <v>120</v>
      </c>
      <c r="H6" s="51" t="s">
        <v>257</v>
      </c>
      <c r="I6" s="47" t="s">
        <v>122</v>
      </c>
      <c r="J6" s="47" t="s">
        <v>123</v>
      </c>
      <c r="K6" s="47" t="s">
        <v>385</v>
      </c>
      <c r="L6" s="50" t="s">
        <v>120</v>
      </c>
    </row>
    <row r="7" spans="2:12" x14ac:dyDescent="0.3">
      <c r="B7" s="47" t="s">
        <v>393</v>
      </c>
      <c r="C7" s="52">
        <f>('Population Development Matrix'!$D$9*'Population 2004 Yield'!B6)+('Population Development Matrix'!$E$9*'Population 2004 Yield'!C6)+('Population Development Matrix'!$F$9*'Population 2004 Yield'!D6)+('Population Development Matrix'!$G$9*'Population 2004 Yield'!E6)+('Population Development Matrix'!$H$9*'Population 2004 Yield'!F6)+('Population Development Matrix'!$I$9*'Population 2004 Yield'!G6)+('Population Development Matrix'!$D$13*'Population 2004 Yield'!J6)+('Population Development Matrix'!$E$13*'Population 2004 Yield'!K6)+('Population Development Matrix'!$F$13*'Population 2004 Yield'!L6)+('Population Development Matrix'!$G$13*'Population 2004 Yield'!M6)+('Population Development Matrix'!$H$13*'Population 2004 Yield'!N6)+('Population Development Matrix'!$I$13*'Population 2004 Yield'!O6)</f>
        <v>0</v>
      </c>
      <c r="D7" s="52">
        <f>('Population Development Matrix'!$D$10*'Population 2004 Yield'!B21)+('Population Development Matrix'!$E$10*'Population 2004 Yield'!C21)+('Population Development Matrix'!$F$10*'Population 2004 Yield'!D21)+('Population Development Matrix'!$G$10*'Population 2004 Yield'!E21)+('Population Development Matrix'!$H$10*'Population 2004 Yield'!F21)+('Population Development Matrix'!$I$10*'Population 2004 Yield'!G21)+('Population Development Matrix'!$D$14*'Population 2004 Yield'!J21)+('Population Development Matrix'!$E$14*'Population 2004 Yield'!K21)+('Population Development Matrix'!$F$14*'Population 2004 Yield'!L21)+('Population Development Matrix'!$G$14*'Population 2004 Yield'!M21)+('Population Development Matrix'!$H$14*'Population 2004 Yield'!N21)+('Population Development Matrix'!$I$14*'Population 2004 Yield'!O21)</f>
        <v>0</v>
      </c>
      <c r="E7" s="52">
        <f>('Population Development Matrix'!$D$11*'Population 2004 Yield'!B36)+('Population Development Matrix'!$E$11*'Population 2004 Yield'!C36)+('Population Development Matrix'!$F$11*'Population 2004 Yield'!D36)+('Population Development Matrix'!$G$11*'Population 2004 Yield'!E36)+('Population Development Matrix'!$H$11*'Population 2004 Yield'!F36)+('Population Development Matrix'!$I$11*'Population 2004 Yield'!G36)+('Population Development Matrix'!$D$15*'Population 2004 Yield'!J36)+('Population Development Matrix'!$E$15*'Population 2004 Yield'!K36)+('Population Development Matrix'!$F$15*'Population 2004 Yield'!L36)+('Population Development Matrix'!$G$15*'Population 2004 Yield'!M36)+('Population Development Matrix'!$H$15*'Population 2004 Yield'!N36)+('Population Development Matrix'!$I$15*'Population 2004 Yield'!O36)</f>
        <v>0</v>
      </c>
      <c r="F7" s="46">
        <f t="shared" ref="F7:F17" si="0">SUM(C7:E7)</f>
        <v>0</v>
      </c>
      <c r="H7" s="47" t="s">
        <v>393</v>
      </c>
      <c r="I7" s="52">
        <f>('Population Development Matrix'!$D$9*'Population 2007 Yield'!B6)+('Population Development Matrix'!$E$9*'Population 2007 Yield'!C6)+('Population Development Matrix'!$F$9*'Population 2007 Yield'!D6)+('Population Development Matrix'!$G$9*'Population 2007 Yield'!E6)+('Population Development Matrix'!$H$9*'Population 2007 Yield'!F6)+('Population Development Matrix'!$I$9*'Population 2007 Yield'!G6)+('Population Development Matrix'!$D$13*'Population 2007 Yield'!J6)+('Population Development Matrix'!$E$13*'Population 2007 Yield'!K6)+('Population Development Matrix'!$F$13*'Population 2007 Yield'!L6)+('Population Development Matrix'!$G$13*'Population 2007 Yield'!M6)+('Population Development Matrix'!$H$13*'Population 2007 Yield'!N6)+('Population Development Matrix'!$I$13*'Population 2007 Yield'!O6)</f>
        <v>0</v>
      </c>
      <c r="J7" s="52">
        <f>('Population Development Matrix'!$D$10*'Population 2007 Yield'!B21)+('Population Development Matrix'!$E$10*'Population 2007 Yield'!C21)+('Population Development Matrix'!$F$10*'Population 2007 Yield'!D21)+('Population Development Matrix'!$G$10*'Population 2007 Yield'!E21)+('Population Development Matrix'!$H$10*'Population 2007 Yield'!F21)+('Population Development Matrix'!$I$10*'Population 2007 Yield'!G21)+('Population Development Matrix'!$D$14*'Population 2007 Yield'!J21)+('Population Development Matrix'!$E$14*'Population 2007 Yield'!K21)+('Population Development Matrix'!$F$14*'Population 2007 Yield'!L21)+('Population Development Matrix'!$G$14*'Population 2007 Yield'!M21)+('Population Development Matrix'!$H$14*'Population 2007 Yield'!N21)+('Population Development Matrix'!$I$14*'Population 2007 Yield'!O21)</f>
        <v>0</v>
      </c>
      <c r="K7" s="52">
        <f>('Population Development Matrix'!$D$11*'Population 2007 Yield'!B36)+('Population Development Matrix'!$E$11*'Population 2007 Yield'!C36)+('Population Development Matrix'!$F$11*'Population 2007 Yield'!D36)+('Population Development Matrix'!$G$11*'Population 2007 Yield'!E36)+('Population Development Matrix'!$H$11*'Population 2007 Yield'!F36)+('Population Development Matrix'!$I$11*'Population 2007 Yield'!G36)+('Population Development Matrix'!$D$15*'Population 2007 Yield'!J36)+('Population Development Matrix'!$E$15*'Population 2007 Yield'!K36)+('Population Development Matrix'!$F$15*'Population 2007 Yield'!L36)+('Population Development Matrix'!$G$15*'Population 2007 Yield'!M36)+('Population Development Matrix'!$H$15*'Population 2007 Yield'!N36)+('Population Development Matrix'!$I$15*'Population 2007 Yield'!O36)</f>
        <v>0</v>
      </c>
      <c r="L7" s="46">
        <f t="shared" ref="L7:L17" si="1">SUM(I7:K7)</f>
        <v>0</v>
      </c>
    </row>
    <row r="8" spans="2:12" x14ac:dyDescent="0.3">
      <c r="B8" s="49" t="s">
        <v>394</v>
      </c>
      <c r="C8" s="52">
        <f>('Population Development Matrix'!$D$9*'Population 2004 Yield'!B7)+('Population Development Matrix'!$E$9*'Population 2004 Yield'!C7)+('Population Development Matrix'!$F$9*'Population 2004 Yield'!D7)+('Population Development Matrix'!$G$9*'Population 2004 Yield'!E7)+('Population Development Matrix'!$H$9*'Population 2004 Yield'!F7)+('Population Development Matrix'!$I$9*'Population 2004 Yield'!G7)+('Population Development Matrix'!$D$13*'Population 2004 Yield'!J7)+('Population Development Matrix'!$E$13*'Population 2004 Yield'!K7)+('Population Development Matrix'!$F$13*'Population 2004 Yield'!L7)+('Population Development Matrix'!$G$13*'Population 2004 Yield'!M7)+('Population Development Matrix'!$H$13*'Population 2004 Yield'!N7)+('Population Development Matrix'!$I$13*'Population 2004 Yield'!O7)</f>
        <v>0</v>
      </c>
      <c r="D8" s="52">
        <f>('Population Development Matrix'!$D$10*'Population 2004 Yield'!B22)+('Population Development Matrix'!$E$10*'Population 2004 Yield'!C22)+('Population Development Matrix'!$F$10*'Population 2004 Yield'!D22)+('Population Development Matrix'!$G$10*'Population 2004 Yield'!E22)+('Population Development Matrix'!$H$10*'Population 2004 Yield'!F22)+('Population Development Matrix'!$I$10*'Population 2004 Yield'!G22)+('Population Development Matrix'!$D$14*'Population 2004 Yield'!J22)+('Population Development Matrix'!$E$14*'Population 2004 Yield'!K22)+('Population Development Matrix'!$F$14*'Population 2004 Yield'!L22)+('Population Development Matrix'!$G$14*'Population 2004 Yield'!M22)+('Population Development Matrix'!$H$14*'Population 2004 Yield'!N22)+('Population Development Matrix'!$I$14*'Population 2004 Yield'!O22)</f>
        <v>0</v>
      </c>
      <c r="E8" s="52">
        <f>('Population Development Matrix'!$D$11*'Population 2004 Yield'!B37)+('Population Development Matrix'!$E$11*'Population 2004 Yield'!C37)+('Population Development Matrix'!$F$11*'Population 2004 Yield'!D37)+('Population Development Matrix'!$G$11*'Population 2004 Yield'!E37)+('Population Development Matrix'!$H$11*'Population 2004 Yield'!F37)+('Population Development Matrix'!$I$11*'Population 2004 Yield'!G37)+('Population Development Matrix'!$D$15*'Population 2004 Yield'!J37)+('Population Development Matrix'!$E$15*'Population 2004 Yield'!K37)+('Population Development Matrix'!$F$15*'Population 2004 Yield'!L37)+('Population Development Matrix'!$G$15*'Population 2004 Yield'!M37)+('Population Development Matrix'!$H$15*'Population 2004 Yield'!N37)+('Population Development Matrix'!$I$15*'Population 2004 Yield'!O37)</f>
        <v>0</v>
      </c>
      <c r="F8" s="46">
        <f t="shared" si="0"/>
        <v>0</v>
      </c>
      <c r="H8" s="49" t="s">
        <v>394</v>
      </c>
      <c r="I8" s="52">
        <f>('Population Development Matrix'!$D$9*'Population 2007 Yield'!B7)+('Population Development Matrix'!$E$9*'Population 2007 Yield'!C7)+('Population Development Matrix'!$F$9*'Population 2007 Yield'!D7)+('Population Development Matrix'!$G$9*'Population 2007 Yield'!E7)+('Population Development Matrix'!$H$9*'Population 2007 Yield'!F7)+('Population Development Matrix'!$I$9*'Population 2007 Yield'!G7)+('Population Development Matrix'!$D$13*'Population 2007 Yield'!J7)+('Population Development Matrix'!$E$13*'Population 2007 Yield'!K7)+('Population Development Matrix'!$F$13*'Population 2007 Yield'!L7)+('Population Development Matrix'!$G$13*'Population 2007 Yield'!M7)+('Population Development Matrix'!$H$13*'Population 2007 Yield'!N7)+('Population Development Matrix'!$I$13*'Population 2007 Yield'!O7)</f>
        <v>0</v>
      </c>
      <c r="J8" s="52">
        <f>('Population Development Matrix'!$D$10*'Population 2007 Yield'!B22)+('Population Development Matrix'!$E$10*'Population 2007 Yield'!C22)+('Population Development Matrix'!$F$10*'Population 2007 Yield'!D22)+('Population Development Matrix'!$G$10*'Population 2007 Yield'!E22)+('Population Development Matrix'!$H$10*'Population 2007 Yield'!F22)+('Population Development Matrix'!$I$10*'Population 2007 Yield'!G22)+('Population Development Matrix'!$D$14*'Population 2007 Yield'!J22)+('Population Development Matrix'!$E$14*'Population 2007 Yield'!K22)+('Population Development Matrix'!$F$14*'Population 2007 Yield'!L22)+('Population Development Matrix'!$G$14*'Population 2007 Yield'!M22)+('Population Development Matrix'!$H$14*'Population 2007 Yield'!N22)+('Population Development Matrix'!$I$14*'Population 2007 Yield'!O22)</f>
        <v>0</v>
      </c>
      <c r="K8" s="52">
        <f>('Population Development Matrix'!$D$11*'Population 2007 Yield'!B37)+('Population Development Matrix'!$E$11*'Population 2007 Yield'!C37)+('Population Development Matrix'!$F$11*'Population 2007 Yield'!D37)+('Population Development Matrix'!$G$11*'Population 2007 Yield'!E37)+('Population Development Matrix'!$H$11*'Population 2007 Yield'!F37)+('Population Development Matrix'!$I$11*'Population 2007 Yield'!G37)+('Population Development Matrix'!$D$15*'Population 2007 Yield'!J37)+('Population Development Matrix'!$E$15*'Population 2007 Yield'!K37)+('Population Development Matrix'!$F$15*'Population 2007 Yield'!L37)+('Population Development Matrix'!$G$15*'Population 2007 Yield'!M37)+('Population Development Matrix'!$H$15*'Population 2007 Yield'!N37)+('Population Development Matrix'!$I$15*'Population 2007 Yield'!O37)</f>
        <v>0</v>
      </c>
      <c r="L8" s="46">
        <f t="shared" si="1"/>
        <v>0</v>
      </c>
    </row>
    <row r="9" spans="2:12" x14ac:dyDescent="0.3">
      <c r="B9" s="49" t="s">
        <v>395</v>
      </c>
      <c r="C9" s="52">
        <f>('Population Development Matrix'!$D$9*'Population 2004 Yield'!B8)+('Population Development Matrix'!$E$9*'Population 2004 Yield'!C8)+('Population Development Matrix'!$F$9*'Population 2004 Yield'!D8)+('Population Development Matrix'!$G$9*'Population 2004 Yield'!E8)+('Population Development Matrix'!$H$9*'Population 2004 Yield'!F8)+('Population Development Matrix'!$I$9*'Population 2004 Yield'!G8)+('Population Development Matrix'!$D$13*'Population 2004 Yield'!J8)+('Population Development Matrix'!$E$13*'Population 2004 Yield'!K8)+('Population Development Matrix'!$F$13*'Population 2004 Yield'!L8)+('Population Development Matrix'!$G$13*'Population 2004 Yield'!M8)+('Population Development Matrix'!$H$13*'Population 2004 Yield'!N8)+('Population Development Matrix'!$I$13*'Population 2004 Yield'!O8)</f>
        <v>0</v>
      </c>
      <c r="D9" s="52">
        <f>('Population Development Matrix'!$D$10*'Population 2004 Yield'!B23)+('Population Development Matrix'!$E$10*'Population 2004 Yield'!C23)+('Population Development Matrix'!$F$10*'Population 2004 Yield'!D23)+('Population Development Matrix'!$G$10*'Population 2004 Yield'!E23)+('Population Development Matrix'!$H$10*'Population 2004 Yield'!F23)+('Population Development Matrix'!$I$10*'Population 2004 Yield'!G23)+('Population Development Matrix'!$D$14*'Population 2004 Yield'!J23)+('Population Development Matrix'!$E$14*'Population 2004 Yield'!K23)+('Population Development Matrix'!$F$14*'Population 2004 Yield'!L23)+('Population Development Matrix'!$G$14*'Population 2004 Yield'!M23)+('Population Development Matrix'!$H$14*'Population 2004 Yield'!N23)+('Population Development Matrix'!$I$14*'Population 2004 Yield'!O23)</f>
        <v>0</v>
      </c>
      <c r="E9" s="52">
        <f>('Population Development Matrix'!$D$11*'Population 2004 Yield'!B38)+('Population Development Matrix'!$E$11*'Population 2004 Yield'!C38)+('Population Development Matrix'!$F$11*'Population 2004 Yield'!D38)+('Population Development Matrix'!$G$11*'Population 2004 Yield'!E38)+('Population Development Matrix'!$H$11*'Population 2004 Yield'!F38)+('Population Development Matrix'!$I$11*'Population 2004 Yield'!G38)+('Population Development Matrix'!$D$15*'Population 2004 Yield'!J38)+('Population Development Matrix'!$E$15*'Population 2004 Yield'!K38)+('Population Development Matrix'!$F$15*'Population 2004 Yield'!L38)+('Population Development Matrix'!$G$15*'Population 2004 Yield'!M38)+('Population Development Matrix'!$H$15*'Population 2004 Yield'!N38)+('Population Development Matrix'!$I$15*'Population 2004 Yield'!O38)</f>
        <v>0</v>
      </c>
      <c r="F9" s="46">
        <f t="shared" si="0"/>
        <v>0</v>
      </c>
      <c r="H9" s="49" t="s">
        <v>395</v>
      </c>
      <c r="I9" s="52">
        <f>('Population Development Matrix'!$D$9*'Population 2007 Yield'!B8)+('Population Development Matrix'!$E$9*'Population 2007 Yield'!C8)+('Population Development Matrix'!$F$9*'Population 2007 Yield'!D8)+('Population Development Matrix'!$G$9*'Population 2007 Yield'!E8)+('Population Development Matrix'!$H$9*'Population 2007 Yield'!F8)+('Population Development Matrix'!$I$9*'Population 2007 Yield'!G8)+('Population Development Matrix'!$D$13*'Population 2007 Yield'!J8)+('Population Development Matrix'!$E$13*'Population 2007 Yield'!K8)+('Population Development Matrix'!$F$13*'Population 2007 Yield'!L8)+('Population Development Matrix'!$G$13*'Population 2007 Yield'!M8)+('Population Development Matrix'!$H$13*'Population 2007 Yield'!N8)+('Population Development Matrix'!$I$13*'Population 2007 Yield'!O8)</f>
        <v>0</v>
      </c>
      <c r="J9" s="52">
        <f>('Population Development Matrix'!$D$10*'Population 2007 Yield'!B23)+('Population Development Matrix'!$E$10*'Population 2007 Yield'!C23)+('Population Development Matrix'!$F$10*'Population 2007 Yield'!D23)+('Population Development Matrix'!$G$10*'Population 2007 Yield'!E23)+('Population Development Matrix'!$H$10*'Population 2007 Yield'!F23)+('Population Development Matrix'!$I$10*'Population 2007 Yield'!G23)+('Population Development Matrix'!$D$14*'Population 2007 Yield'!J23)+('Population Development Matrix'!$E$14*'Population 2007 Yield'!K23)+('Population Development Matrix'!$F$14*'Population 2007 Yield'!L23)+('Population Development Matrix'!$G$14*'Population 2007 Yield'!M23)+('Population Development Matrix'!$H$14*'Population 2007 Yield'!N23)+('Population Development Matrix'!$I$14*'Population 2007 Yield'!O23)</f>
        <v>0</v>
      </c>
      <c r="K9" s="52">
        <f>('Population Development Matrix'!$D$11*'Population 2007 Yield'!B38)+('Population Development Matrix'!$E$11*'Population 2007 Yield'!C38)+('Population Development Matrix'!$F$11*'Population 2007 Yield'!D38)+('Population Development Matrix'!$G$11*'Population 2007 Yield'!E38)+('Population Development Matrix'!$H$11*'Population 2007 Yield'!F38)+('Population Development Matrix'!$I$11*'Population 2007 Yield'!G38)+('Population Development Matrix'!$D$15*'Population 2007 Yield'!J38)+('Population Development Matrix'!$E$15*'Population 2007 Yield'!K38)+('Population Development Matrix'!$F$15*'Population 2007 Yield'!L38)+('Population Development Matrix'!$G$15*'Population 2007 Yield'!M38)+('Population Development Matrix'!$H$15*'Population 2007 Yield'!N38)+('Population Development Matrix'!$I$15*'Population 2007 Yield'!O38)</f>
        <v>0</v>
      </c>
      <c r="L9" s="46">
        <f t="shared" si="1"/>
        <v>0</v>
      </c>
    </row>
    <row r="10" spans="2:12" x14ac:dyDescent="0.3">
      <c r="B10" s="49" t="s">
        <v>396</v>
      </c>
      <c r="C10" s="52">
        <f>('Population Development Matrix'!$D$9*'Population 2004 Yield'!B9)+('Population Development Matrix'!$E$9*'Population 2004 Yield'!C9)+('Population Development Matrix'!$F$9*'Population 2004 Yield'!D9)+('Population Development Matrix'!$G$9*'Population 2004 Yield'!E9)+('Population Development Matrix'!$H$9*'Population 2004 Yield'!F9)+('Population Development Matrix'!$I$9*'Population 2004 Yield'!G9)+('Population Development Matrix'!$D$13*'Population 2004 Yield'!J9)+('Population Development Matrix'!$E$13*'Population 2004 Yield'!K9)+('Population Development Matrix'!$F$13*'Population 2004 Yield'!L9)+('Population Development Matrix'!$G$13*'Population 2004 Yield'!M9)+('Population Development Matrix'!$H$13*'Population 2004 Yield'!N9)+('Population Development Matrix'!$I$13*'Population 2004 Yield'!O9)</f>
        <v>0</v>
      </c>
      <c r="D10" s="52">
        <f>('Population Development Matrix'!$D$10*'Population 2004 Yield'!B24)+('Population Development Matrix'!$E$10*'Population 2004 Yield'!C24)+('Population Development Matrix'!$F$10*'Population 2004 Yield'!D24)+('Population Development Matrix'!$G$10*'Population 2004 Yield'!E24)+('Population Development Matrix'!$H$10*'Population 2004 Yield'!F24)+('Population Development Matrix'!$I$10*'Population 2004 Yield'!G24)+('Population Development Matrix'!$D$14*'Population 2004 Yield'!J24)+('Population Development Matrix'!$E$14*'Population 2004 Yield'!K24)+('Population Development Matrix'!$F$14*'Population 2004 Yield'!L24)+('Population Development Matrix'!$G$14*'Population 2004 Yield'!M24)+('Population Development Matrix'!$H$14*'Population 2004 Yield'!N24)+('Population Development Matrix'!$I$14*'Population 2004 Yield'!O24)</f>
        <v>0</v>
      </c>
      <c r="E10" s="52">
        <f>('Population Development Matrix'!$D$11*'Population 2004 Yield'!B39)+('Population Development Matrix'!$E$11*'Population 2004 Yield'!C39)+('Population Development Matrix'!$F$11*'Population 2004 Yield'!D39)+('Population Development Matrix'!$G$11*'Population 2004 Yield'!E39)+('Population Development Matrix'!$H$11*'Population 2004 Yield'!F39)+('Population Development Matrix'!$I$11*'Population 2004 Yield'!G39)+('Population Development Matrix'!$D$15*'Population 2004 Yield'!J39)+('Population Development Matrix'!$E$15*'Population 2004 Yield'!K39)+('Population Development Matrix'!$F$15*'Population 2004 Yield'!L39)+('Population Development Matrix'!$G$15*'Population 2004 Yield'!M39)+('Population Development Matrix'!$H$15*'Population 2004 Yield'!N39)+('Population Development Matrix'!$I$15*'Population 2004 Yield'!O39)</f>
        <v>0</v>
      </c>
      <c r="F10" s="46">
        <f t="shared" si="0"/>
        <v>0</v>
      </c>
      <c r="H10" s="49" t="s">
        <v>396</v>
      </c>
      <c r="I10" s="52">
        <f>('Population Development Matrix'!$D$9*'Population 2007 Yield'!B9)+('Population Development Matrix'!$E$9*'Population 2007 Yield'!C9)+('Population Development Matrix'!$F$9*'Population 2007 Yield'!D9)+('Population Development Matrix'!$G$9*'Population 2007 Yield'!E9)+('Population Development Matrix'!$H$9*'Population 2007 Yield'!F9)+('Population Development Matrix'!$I$9*'Population 2007 Yield'!G9)+('Population Development Matrix'!$D$13*'Population 2007 Yield'!J9)+('Population Development Matrix'!$E$13*'Population 2007 Yield'!K9)+('Population Development Matrix'!$F$13*'Population 2007 Yield'!L9)+('Population Development Matrix'!$G$13*'Population 2007 Yield'!M9)+('Population Development Matrix'!$H$13*'Population 2007 Yield'!N9)+('Population Development Matrix'!$I$13*'Population 2007 Yield'!O9)</f>
        <v>0</v>
      </c>
      <c r="J10" s="52">
        <f>('Population Development Matrix'!$D$10*'Population 2007 Yield'!B24)+('Population Development Matrix'!$E$10*'Population 2007 Yield'!C24)+('Population Development Matrix'!$F$10*'Population 2007 Yield'!D24)+('Population Development Matrix'!$G$10*'Population 2007 Yield'!E24)+('Population Development Matrix'!$H$10*'Population 2007 Yield'!F24)+('Population Development Matrix'!$I$10*'Population 2007 Yield'!G24)+('Population Development Matrix'!$D$14*'Population 2007 Yield'!J24)+('Population Development Matrix'!$E$14*'Population 2007 Yield'!K24)+('Population Development Matrix'!$F$14*'Population 2007 Yield'!L24)+('Population Development Matrix'!$G$14*'Population 2007 Yield'!M24)+('Population Development Matrix'!$H$14*'Population 2007 Yield'!N24)+('Population Development Matrix'!$I$14*'Population 2007 Yield'!O24)</f>
        <v>0</v>
      </c>
      <c r="K10" s="52">
        <f>('Population Development Matrix'!$D$11*'Population 2007 Yield'!B39)+('Population Development Matrix'!$E$11*'Population 2007 Yield'!C39)+('Population Development Matrix'!$F$11*'Population 2007 Yield'!D39)+('Population Development Matrix'!$G$11*'Population 2007 Yield'!E39)+('Population Development Matrix'!$H$11*'Population 2007 Yield'!F39)+('Population Development Matrix'!$I$11*'Population 2007 Yield'!G39)+('Population Development Matrix'!$D$15*'Population 2007 Yield'!J39)+('Population Development Matrix'!$E$15*'Population 2007 Yield'!K39)+('Population Development Matrix'!$F$15*'Population 2007 Yield'!L39)+('Population Development Matrix'!$G$15*'Population 2007 Yield'!M39)+('Population Development Matrix'!$H$15*'Population 2007 Yield'!N39)+('Population Development Matrix'!$I$15*'Population 2007 Yield'!O39)</f>
        <v>0</v>
      </c>
      <c r="L10" s="46">
        <f t="shared" si="1"/>
        <v>0</v>
      </c>
    </row>
    <row r="11" spans="2:12" x14ac:dyDescent="0.3">
      <c r="B11" s="49" t="s">
        <v>397</v>
      </c>
      <c r="C11" s="52">
        <f>('Population Development Matrix'!$D$9*'Population 2004 Yield'!B10)+('Population Development Matrix'!$E$9*'Population 2004 Yield'!C10)+('Population Development Matrix'!$F$9*'Population 2004 Yield'!D10)+('Population Development Matrix'!$G$9*'Population 2004 Yield'!E10)+('Population Development Matrix'!$H$9*'Population 2004 Yield'!F10)+('Population Development Matrix'!$I$9*'Population 2004 Yield'!G10)+('Population Development Matrix'!$D$13*'Population 2004 Yield'!J10)+('Population Development Matrix'!$E$13*'Population 2004 Yield'!K10)+('Population Development Matrix'!$F$13*'Population 2004 Yield'!L10)+('Population Development Matrix'!$G$13*'Population 2004 Yield'!M10)+('Population Development Matrix'!$H$13*'Population 2004 Yield'!N10)+('Population Development Matrix'!$I$13*'Population 2004 Yield'!O10)</f>
        <v>0</v>
      </c>
      <c r="D11" s="52">
        <f>('Population Development Matrix'!$D$10*'Population 2004 Yield'!B25)+('Population Development Matrix'!$E$10*'Population 2004 Yield'!C25)+('Population Development Matrix'!$F$10*'Population 2004 Yield'!D25)+('Population Development Matrix'!$G$10*'Population 2004 Yield'!E25)+('Population Development Matrix'!$H$10*'Population 2004 Yield'!F25)+('Population Development Matrix'!$I$10*'Population 2004 Yield'!G25)+('Population Development Matrix'!$D$14*'Population 2004 Yield'!J25)+('Population Development Matrix'!$E$14*'Population 2004 Yield'!K25)+('Population Development Matrix'!$F$14*'Population 2004 Yield'!L25)+('Population Development Matrix'!$G$14*'Population 2004 Yield'!M25)+('Population Development Matrix'!$H$14*'Population 2004 Yield'!N25)+('Population Development Matrix'!$I$14*'Population 2004 Yield'!O25)</f>
        <v>0</v>
      </c>
      <c r="E11" s="52">
        <f>('Population Development Matrix'!$D$11*'Population 2004 Yield'!B40)+('Population Development Matrix'!$E$11*'Population 2004 Yield'!C40)+('Population Development Matrix'!$F$11*'Population 2004 Yield'!D40)+('Population Development Matrix'!$G$11*'Population 2004 Yield'!E40)+('Population Development Matrix'!$H$11*'Population 2004 Yield'!F40)+('Population Development Matrix'!$I$11*'Population 2004 Yield'!G40)+('Population Development Matrix'!$D$15*'Population 2004 Yield'!J40)+('Population Development Matrix'!$E$15*'Population 2004 Yield'!K40)+('Population Development Matrix'!$F$15*'Population 2004 Yield'!L40)+('Population Development Matrix'!$G$15*'Population 2004 Yield'!M40)+('Population Development Matrix'!$H$15*'Population 2004 Yield'!N40)+('Population Development Matrix'!$I$15*'Population 2004 Yield'!O40)</f>
        <v>0</v>
      </c>
      <c r="F11" s="46">
        <f t="shared" si="0"/>
        <v>0</v>
      </c>
      <c r="H11" s="49" t="s">
        <v>397</v>
      </c>
      <c r="I11" s="52">
        <f>('Population Development Matrix'!$D$9*'Population 2007 Yield'!B10)+('Population Development Matrix'!$E$9*'Population 2007 Yield'!C10)+('Population Development Matrix'!$F$9*'Population 2007 Yield'!D10)+('Population Development Matrix'!$G$9*'Population 2007 Yield'!E10)+('Population Development Matrix'!$H$9*'Population 2007 Yield'!F10)+('Population Development Matrix'!$I$9*'Population 2007 Yield'!G10)+('Population Development Matrix'!$D$13*'Population 2007 Yield'!J10)+('Population Development Matrix'!$E$13*'Population 2007 Yield'!K10)+('Population Development Matrix'!$F$13*'Population 2007 Yield'!L10)+('Population Development Matrix'!$G$13*'Population 2007 Yield'!M10)+('Population Development Matrix'!$H$13*'Population 2007 Yield'!N10)+('Population Development Matrix'!$I$13*'Population 2007 Yield'!O10)</f>
        <v>0</v>
      </c>
      <c r="J11" s="52">
        <f>('Population Development Matrix'!$D$10*'Population 2007 Yield'!B25)+('Population Development Matrix'!$E$10*'Population 2007 Yield'!C25)+('Population Development Matrix'!$F$10*'Population 2007 Yield'!D25)+('Population Development Matrix'!$G$10*'Population 2007 Yield'!E25)+('Population Development Matrix'!$H$10*'Population 2007 Yield'!F25)+('Population Development Matrix'!$I$10*'Population 2007 Yield'!G25)+('Population Development Matrix'!$D$14*'Population 2007 Yield'!J25)+('Population Development Matrix'!$E$14*'Population 2007 Yield'!K25)+('Population Development Matrix'!$F$14*'Population 2007 Yield'!L25)+('Population Development Matrix'!$G$14*'Population 2007 Yield'!M25)+('Population Development Matrix'!$H$14*'Population 2007 Yield'!N25)+('Population Development Matrix'!$I$14*'Population 2007 Yield'!O25)</f>
        <v>0</v>
      </c>
      <c r="K11" s="52">
        <f>('Population Development Matrix'!$D$11*'Population 2007 Yield'!B40)+('Population Development Matrix'!$E$11*'Population 2007 Yield'!C40)+('Population Development Matrix'!$F$11*'Population 2007 Yield'!D40)+('Population Development Matrix'!$G$11*'Population 2007 Yield'!E40)+('Population Development Matrix'!$H$11*'Population 2007 Yield'!F40)+('Population Development Matrix'!$I$11*'Population 2007 Yield'!G40)+('Population Development Matrix'!$D$15*'Population 2007 Yield'!J40)+('Population Development Matrix'!$E$15*'Population 2007 Yield'!K40)+('Population Development Matrix'!$F$15*'Population 2007 Yield'!L40)+('Population Development Matrix'!$G$15*'Population 2007 Yield'!M40)+('Population Development Matrix'!$H$15*'Population 2007 Yield'!N40)+('Population Development Matrix'!$I$15*'Population 2007 Yield'!O40)</f>
        <v>0</v>
      </c>
      <c r="L11" s="46">
        <f t="shared" si="1"/>
        <v>0</v>
      </c>
    </row>
    <row r="12" spans="2:12" x14ac:dyDescent="0.3">
      <c r="B12" s="47" t="s">
        <v>398</v>
      </c>
      <c r="C12" s="52">
        <f>('Population Development Matrix'!$D$9*'Population 2004 Yield'!B11)+('Population Development Matrix'!$E$9*'Population 2004 Yield'!C11)+('Population Development Matrix'!$F$9*'Population 2004 Yield'!D11)+('Population Development Matrix'!$G$9*'Population 2004 Yield'!E11)+('Population Development Matrix'!$H$9*'Population 2004 Yield'!F11)+('Population Development Matrix'!$I$9*'Population 2004 Yield'!G11)+('Population Development Matrix'!$D$13*'Population 2004 Yield'!J11)+('Population Development Matrix'!$E$13*'Population 2004 Yield'!K11)+('Population Development Matrix'!$F$13*'Population 2004 Yield'!L11)+('Population Development Matrix'!$G$13*'Population 2004 Yield'!M11)+('Population Development Matrix'!$H$13*'Population 2004 Yield'!N11)+('Population Development Matrix'!$I$13*'Population 2004 Yield'!O11)</f>
        <v>0</v>
      </c>
      <c r="D12" s="52">
        <f>('Population Development Matrix'!$D$10*'Population 2004 Yield'!B26)+('Population Development Matrix'!$E$10*'Population 2004 Yield'!C26)+('Population Development Matrix'!$F$10*'Population 2004 Yield'!D26)+('Population Development Matrix'!$G$10*'Population 2004 Yield'!E26)+('Population Development Matrix'!$H$10*'Population 2004 Yield'!F26)+('Population Development Matrix'!$I$10*'Population 2004 Yield'!G26)+('Population Development Matrix'!$D$14*'Population 2004 Yield'!J26)+('Population Development Matrix'!$E$14*'Population 2004 Yield'!K26)+('Population Development Matrix'!$F$14*'Population 2004 Yield'!L26)+('Population Development Matrix'!$G$14*'Population 2004 Yield'!M26)+('Population Development Matrix'!$H$14*'Population 2004 Yield'!N26)+('Population Development Matrix'!$I$14*'Population 2004 Yield'!O26)</f>
        <v>0</v>
      </c>
      <c r="E12" s="52">
        <f>('Population Development Matrix'!$D$11*'Population 2004 Yield'!B41)+('Population Development Matrix'!$E$11*'Population 2004 Yield'!C41)+('Population Development Matrix'!$F$11*'Population 2004 Yield'!D41)+('Population Development Matrix'!$G$11*'Population 2004 Yield'!E41)+('Population Development Matrix'!$H$11*'Population 2004 Yield'!F41)+('Population Development Matrix'!$I$11*'Population 2004 Yield'!G41)+('Population Development Matrix'!$D$15*'Population 2004 Yield'!J41)+('Population Development Matrix'!$E$15*'Population 2004 Yield'!K41)+('Population Development Matrix'!$F$15*'Population 2004 Yield'!L41)+('Population Development Matrix'!$G$15*'Population 2004 Yield'!M41)+('Population Development Matrix'!$H$15*'Population 2004 Yield'!N41)+('Population Development Matrix'!$I$15*'Population 2004 Yield'!O41)</f>
        <v>0</v>
      </c>
      <c r="F12" s="46">
        <f t="shared" si="0"/>
        <v>0</v>
      </c>
      <c r="H12" s="47" t="s">
        <v>398</v>
      </c>
      <c r="I12" s="52">
        <f>('Population Development Matrix'!$D$9*'Population 2007 Yield'!B11)+('Population Development Matrix'!$E$9*'Population 2007 Yield'!C11)+('Population Development Matrix'!$F$9*'Population 2007 Yield'!D11)+('Population Development Matrix'!$G$9*'Population 2007 Yield'!E11)+('Population Development Matrix'!$H$9*'Population 2007 Yield'!F11)+('Population Development Matrix'!$I$9*'Population 2007 Yield'!G11)+('Population Development Matrix'!$D$13*'Population 2007 Yield'!J11)+('Population Development Matrix'!$E$13*'Population 2007 Yield'!K11)+('Population Development Matrix'!$F$13*'Population 2007 Yield'!L11)+('Population Development Matrix'!$G$13*'Population 2007 Yield'!M11)+('Population Development Matrix'!$H$13*'Population 2007 Yield'!N11)+('Population Development Matrix'!$I$13*'Population 2007 Yield'!O11)</f>
        <v>0</v>
      </c>
      <c r="J12" s="52">
        <f>('Population Development Matrix'!$D$10*'Population 2007 Yield'!B26)+('Population Development Matrix'!$E$10*'Population 2007 Yield'!C26)+('Population Development Matrix'!$F$10*'Population 2007 Yield'!D26)+('Population Development Matrix'!$G$10*'Population 2007 Yield'!E26)+('Population Development Matrix'!$H$10*'Population 2007 Yield'!F26)+('Population Development Matrix'!$I$10*'Population 2007 Yield'!G26)+('Population Development Matrix'!$D$14*'Population 2007 Yield'!J26)+('Population Development Matrix'!$E$14*'Population 2007 Yield'!K26)+('Population Development Matrix'!$F$14*'Population 2007 Yield'!L26)+('Population Development Matrix'!$G$14*'Population 2007 Yield'!M26)+('Population Development Matrix'!$H$14*'Population 2007 Yield'!N26)+('Population Development Matrix'!$I$14*'Population 2007 Yield'!O26)</f>
        <v>0</v>
      </c>
      <c r="K12" s="52">
        <f>('Population Development Matrix'!$D$11*'Population 2007 Yield'!B41)+('Population Development Matrix'!$E$11*'Population 2007 Yield'!C41)+('Population Development Matrix'!$F$11*'Population 2007 Yield'!D41)+('Population Development Matrix'!$G$11*'Population 2007 Yield'!E41)+('Population Development Matrix'!$H$11*'Population 2007 Yield'!F41)+('Population Development Matrix'!$I$11*'Population 2007 Yield'!G41)+('Population Development Matrix'!$D$15*'Population 2007 Yield'!J41)+('Population Development Matrix'!$E$15*'Population 2007 Yield'!K41)+('Population Development Matrix'!$F$15*'Population 2007 Yield'!L41)+('Population Development Matrix'!$G$15*'Population 2007 Yield'!M41)+('Population Development Matrix'!$H$15*'Population 2007 Yield'!N41)+('Population Development Matrix'!$I$15*'Population 2007 Yield'!O41)</f>
        <v>0</v>
      </c>
      <c r="L12" s="46">
        <f t="shared" si="1"/>
        <v>0</v>
      </c>
    </row>
    <row r="13" spans="2:12" x14ac:dyDescent="0.3">
      <c r="B13" s="47" t="s">
        <v>399</v>
      </c>
      <c r="C13" s="52">
        <f>('Population Development Matrix'!$D$9*'Population 2004 Yield'!B12)+('Population Development Matrix'!$E$9*'Population 2004 Yield'!C12)+('Population Development Matrix'!$F$9*'Population 2004 Yield'!D12)+('Population Development Matrix'!$G$9*'Population 2004 Yield'!E12)+('Population Development Matrix'!$H$9*'Population 2004 Yield'!F12)+('Population Development Matrix'!$I$9*'Population 2004 Yield'!G12)+('Population Development Matrix'!$D$13*'Population 2004 Yield'!J12)+('Population Development Matrix'!$E$13*'Population 2004 Yield'!K12)+('Population Development Matrix'!$F$13*'Population 2004 Yield'!L12)+('Population Development Matrix'!$G$13*'Population 2004 Yield'!M12)+('Population Development Matrix'!$H$13*'Population 2004 Yield'!N12)+('Population Development Matrix'!$I$13*'Population 2004 Yield'!O12)</f>
        <v>0</v>
      </c>
      <c r="D13" s="52">
        <f>('Population Development Matrix'!$D$10*'Population 2004 Yield'!B27)+('Population Development Matrix'!$E$10*'Population 2004 Yield'!C27)+('Population Development Matrix'!$F$10*'Population 2004 Yield'!D27)+('Population Development Matrix'!$G$10*'Population 2004 Yield'!E27)+('Population Development Matrix'!$H$10*'Population 2004 Yield'!F27)+('Population Development Matrix'!$I$10*'Population 2004 Yield'!G27)+('Population Development Matrix'!$D$14*'Population 2004 Yield'!J27)+('Population Development Matrix'!$E$14*'Population 2004 Yield'!K27)+('Population Development Matrix'!$F$14*'Population 2004 Yield'!L27)+('Population Development Matrix'!$G$14*'Population 2004 Yield'!M27)+('Population Development Matrix'!$H$14*'Population 2004 Yield'!N27)+('Population Development Matrix'!$I$14*'Population 2004 Yield'!O27)</f>
        <v>0</v>
      </c>
      <c r="E13" s="52">
        <f>('Population Development Matrix'!$D$11*'Population 2004 Yield'!B42)+('Population Development Matrix'!$E$11*'Population 2004 Yield'!C42)+('Population Development Matrix'!$F$11*'Population 2004 Yield'!D42)+('Population Development Matrix'!$G$11*'Population 2004 Yield'!E42)+('Population Development Matrix'!$H$11*'Population 2004 Yield'!F42)+('Population Development Matrix'!$I$11*'Population 2004 Yield'!G42)+('Population Development Matrix'!$D$15*'Population 2004 Yield'!J42)+('Population Development Matrix'!$E$15*'Population 2004 Yield'!K42)+('Population Development Matrix'!$F$15*'Population 2004 Yield'!L42)+('Population Development Matrix'!$G$15*'Population 2004 Yield'!M42)+('Population Development Matrix'!$H$15*'Population 2004 Yield'!N42)+('Population Development Matrix'!$I$15*'Population 2004 Yield'!O42)</f>
        <v>0</v>
      </c>
      <c r="F13" s="46">
        <f t="shared" si="0"/>
        <v>0</v>
      </c>
      <c r="H13" s="47" t="s">
        <v>399</v>
      </c>
      <c r="I13" s="52">
        <f>('Population Development Matrix'!$D$9*'Population 2007 Yield'!B12)+('Population Development Matrix'!$E$9*'Population 2007 Yield'!C12)+('Population Development Matrix'!$F$9*'Population 2007 Yield'!D12)+('Population Development Matrix'!$G$9*'Population 2007 Yield'!E12)+('Population Development Matrix'!$H$9*'Population 2007 Yield'!F12)+('Population Development Matrix'!$I$9*'Population 2007 Yield'!G12)+('Population Development Matrix'!$D$13*'Population 2007 Yield'!J12)+('Population Development Matrix'!$E$13*'Population 2007 Yield'!K12)+('Population Development Matrix'!$F$13*'Population 2007 Yield'!L12)+('Population Development Matrix'!$G$13*'Population 2007 Yield'!M12)+('Population Development Matrix'!$H$13*'Population 2007 Yield'!N12)+('Population Development Matrix'!$I$13*'Population 2007 Yield'!O12)</f>
        <v>0</v>
      </c>
      <c r="J13" s="52">
        <f>('Population Development Matrix'!$D$10*'Population 2007 Yield'!B27)+('Population Development Matrix'!$E$10*'Population 2007 Yield'!C27)+('Population Development Matrix'!$F$10*'Population 2007 Yield'!D27)+('Population Development Matrix'!$G$10*'Population 2007 Yield'!E27)+('Population Development Matrix'!$H$10*'Population 2007 Yield'!F27)+('Population Development Matrix'!$I$10*'Population 2007 Yield'!G27)+('Population Development Matrix'!$D$14*'Population 2007 Yield'!J27)+('Population Development Matrix'!$E$14*'Population 2007 Yield'!K27)+('Population Development Matrix'!$F$14*'Population 2007 Yield'!L27)+('Population Development Matrix'!$G$14*'Population 2007 Yield'!M27)+('Population Development Matrix'!$H$14*'Population 2007 Yield'!N27)+('Population Development Matrix'!$I$14*'Population 2007 Yield'!O27)</f>
        <v>0</v>
      </c>
      <c r="K13" s="52">
        <f>('Population Development Matrix'!$D$11*'Population 2007 Yield'!B42)+('Population Development Matrix'!$E$11*'Population 2007 Yield'!C42)+('Population Development Matrix'!$F$11*'Population 2007 Yield'!D42)+('Population Development Matrix'!$G$11*'Population 2007 Yield'!E42)+('Population Development Matrix'!$H$11*'Population 2007 Yield'!F42)+('Population Development Matrix'!$I$11*'Population 2007 Yield'!G42)+('Population Development Matrix'!$D$15*'Population 2007 Yield'!J42)+('Population Development Matrix'!$E$15*'Population 2007 Yield'!K42)+('Population Development Matrix'!$F$15*'Population 2007 Yield'!L42)+('Population Development Matrix'!$G$15*'Population 2007 Yield'!M42)+('Population Development Matrix'!$H$15*'Population 2007 Yield'!N42)+('Population Development Matrix'!$I$15*'Population 2007 Yield'!O42)</f>
        <v>0</v>
      </c>
      <c r="L13" s="46">
        <f t="shared" si="1"/>
        <v>0</v>
      </c>
    </row>
    <row r="14" spans="2:12" x14ac:dyDescent="0.3">
      <c r="B14" s="47" t="s">
        <v>400</v>
      </c>
      <c r="C14" s="52">
        <f>('Population Development Matrix'!$D$9*'Population 2004 Yield'!B13)+('Population Development Matrix'!$E$9*'Population 2004 Yield'!C13)+('Population Development Matrix'!$F$9*'Population 2004 Yield'!D13)+('Population Development Matrix'!$G$9*'Population 2004 Yield'!E13)+('Population Development Matrix'!$H$9*'Population 2004 Yield'!F13)+('Population Development Matrix'!$I$9*'Population 2004 Yield'!G13)+('Population Development Matrix'!$D$13*'Population 2004 Yield'!J13)+('Population Development Matrix'!$E$13*'Population 2004 Yield'!K13)+('Population Development Matrix'!$F$13*'Population 2004 Yield'!L13)+('Population Development Matrix'!$G$13*'Population 2004 Yield'!M13)+('Population Development Matrix'!$H$13*'Population 2004 Yield'!N13)+('Population Development Matrix'!$I$13*'Population 2004 Yield'!O13)</f>
        <v>0</v>
      </c>
      <c r="D14" s="52">
        <f>('Population Development Matrix'!$D$10*'Population 2004 Yield'!B28)+('Population Development Matrix'!$E$10*'Population 2004 Yield'!C28)+('Population Development Matrix'!$F$10*'Population 2004 Yield'!D28)+('Population Development Matrix'!$G$10*'Population 2004 Yield'!E28)+('Population Development Matrix'!$H$10*'Population 2004 Yield'!F28)+('Population Development Matrix'!$I$10*'Population 2004 Yield'!G28)+('Population Development Matrix'!$D$14*'Population 2004 Yield'!J28)+('Population Development Matrix'!$E$14*'Population 2004 Yield'!K28)+('Population Development Matrix'!$F$14*'Population 2004 Yield'!L28)+('Population Development Matrix'!$G$14*'Population 2004 Yield'!M28)+('Population Development Matrix'!$H$14*'Population 2004 Yield'!N28)+('Population Development Matrix'!$I$14*'Population 2004 Yield'!O28)</f>
        <v>0</v>
      </c>
      <c r="E14" s="52">
        <f>('Population Development Matrix'!$D$11*'Population 2004 Yield'!B43)+('Population Development Matrix'!$E$11*'Population 2004 Yield'!C43)+('Population Development Matrix'!$F$11*'Population 2004 Yield'!D43)+('Population Development Matrix'!$G$11*'Population 2004 Yield'!E43)+('Population Development Matrix'!$H$11*'Population 2004 Yield'!F43)+('Population Development Matrix'!$I$11*'Population 2004 Yield'!G43)+('Population Development Matrix'!$D$15*'Population 2004 Yield'!J43)+('Population Development Matrix'!$E$15*'Population 2004 Yield'!K43)+('Population Development Matrix'!$F$15*'Population 2004 Yield'!L43)+('Population Development Matrix'!$G$15*'Population 2004 Yield'!M43)+('Population Development Matrix'!$H$15*'Population 2004 Yield'!N43)+('Population Development Matrix'!$I$15*'Population 2004 Yield'!O43)</f>
        <v>0</v>
      </c>
      <c r="F14" s="46">
        <f t="shared" si="0"/>
        <v>0</v>
      </c>
      <c r="H14" s="47" t="s">
        <v>400</v>
      </c>
      <c r="I14" s="52">
        <f>('Population Development Matrix'!$D$9*'Population 2007 Yield'!B13)+('Population Development Matrix'!$E$9*'Population 2007 Yield'!C13)+('Population Development Matrix'!$F$9*'Population 2007 Yield'!D13)+('Population Development Matrix'!$G$9*'Population 2007 Yield'!E13)+('Population Development Matrix'!$H$9*'Population 2007 Yield'!F13)+('Population Development Matrix'!$I$9*'Population 2007 Yield'!G13)+('Population Development Matrix'!$D$13*'Population 2007 Yield'!J13)+('Population Development Matrix'!$E$13*'Population 2007 Yield'!K13)+('Population Development Matrix'!$F$13*'Population 2007 Yield'!L13)+('Population Development Matrix'!$G$13*'Population 2007 Yield'!M13)+('Population Development Matrix'!$H$13*'Population 2007 Yield'!N13)+('Population Development Matrix'!$I$13*'Population 2007 Yield'!O13)</f>
        <v>0</v>
      </c>
      <c r="J14" s="52">
        <f>('Population Development Matrix'!$D$10*'Population 2007 Yield'!B28)+('Population Development Matrix'!$E$10*'Population 2007 Yield'!C28)+('Population Development Matrix'!$F$10*'Population 2007 Yield'!D28)+('Population Development Matrix'!$G$10*'Population 2007 Yield'!E28)+('Population Development Matrix'!$H$10*'Population 2007 Yield'!F28)+('Population Development Matrix'!$I$10*'Population 2007 Yield'!G28)+('Population Development Matrix'!$D$14*'Population 2007 Yield'!J28)+('Population Development Matrix'!$E$14*'Population 2007 Yield'!K28)+('Population Development Matrix'!$F$14*'Population 2007 Yield'!L28)+('Population Development Matrix'!$G$14*'Population 2007 Yield'!M28)+('Population Development Matrix'!$H$14*'Population 2007 Yield'!N28)+('Population Development Matrix'!$I$14*'Population 2007 Yield'!O28)</f>
        <v>0</v>
      </c>
      <c r="K14" s="52">
        <f>('Population Development Matrix'!$D$11*'Population 2007 Yield'!B43)+('Population Development Matrix'!$E$11*'Population 2007 Yield'!C43)+('Population Development Matrix'!$F$11*'Population 2007 Yield'!D43)+('Population Development Matrix'!$G$11*'Population 2007 Yield'!E43)+('Population Development Matrix'!$H$11*'Population 2007 Yield'!F43)+('Population Development Matrix'!$I$11*'Population 2007 Yield'!G43)+('Population Development Matrix'!$D$15*'Population 2007 Yield'!J43)+('Population Development Matrix'!$E$15*'Population 2007 Yield'!K43)+('Population Development Matrix'!$F$15*'Population 2007 Yield'!L43)+('Population Development Matrix'!$G$15*'Population 2007 Yield'!M43)+('Population Development Matrix'!$H$15*'Population 2007 Yield'!N43)+('Population Development Matrix'!$I$15*'Population 2007 Yield'!O43)</f>
        <v>0</v>
      </c>
      <c r="L14" s="46">
        <f t="shared" si="1"/>
        <v>0</v>
      </c>
    </row>
    <row r="15" spans="2:12" x14ac:dyDescent="0.3">
      <c r="B15" s="47" t="s">
        <v>401</v>
      </c>
      <c r="C15" s="52">
        <f>('Population Development Matrix'!$D$9*'Population 2004 Yield'!B14)+('Population Development Matrix'!$E$9*'Population 2004 Yield'!C14)+('Population Development Matrix'!$F$9*'Population 2004 Yield'!D14)+('Population Development Matrix'!$G$9*'Population 2004 Yield'!E14)+('Population Development Matrix'!$H$9*'Population 2004 Yield'!F14)+('Population Development Matrix'!$I$9*'Population 2004 Yield'!G14)+('Population Development Matrix'!$D$13*'Population 2004 Yield'!J14)+('Population Development Matrix'!$E$13*'Population 2004 Yield'!K14)+('Population Development Matrix'!$F$13*'Population 2004 Yield'!L14)+('Population Development Matrix'!$G$13*'Population 2004 Yield'!M14)+('Population Development Matrix'!$H$13*'Population 2004 Yield'!N14)+('Population Development Matrix'!$I$13*'Population 2004 Yield'!O14)</f>
        <v>0</v>
      </c>
      <c r="D15" s="52">
        <f>('Population Development Matrix'!$D$10*'Population 2004 Yield'!B29)+('Population Development Matrix'!$E$10*'Population 2004 Yield'!C29)+('Population Development Matrix'!$F$10*'Population 2004 Yield'!D29)+('Population Development Matrix'!$G$10*'Population 2004 Yield'!E29)+('Population Development Matrix'!$H$10*'Population 2004 Yield'!F29)+('Population Development Matrix'!$I$10*'Population 2004 Yield'!G29)+('Population Development Matrix'!$D$14*'Population 2004 Yield'!J29)+('Population Development Matrix'!$E$14*'Population 2004 Yield'!K29)+('Population Development Matrix'!$F$14*'Population 2004 Yield'!L29)+('Population Development Matrix'!$G$14*'Population 2004 Yield'!M29)+('Population Development Matrix'!$H$14*'Population 2004 Yield'!N29)+('Population Development Matrix'!$I$14*'Population 2004 Yield'!O29)</f>
        <v>0</v>
      </c>
      <c r="E15" s="52">
        <f>('Population Development Matrix'!$D$11*'Population 2004 Yield'!B44)+('Population Development Matrix'!$E$11*'Population 2004 Yield'!C44)+('Population Development Matrix'!$F$11*'Population 2004 Yield'!D44)+('Population Development Matrix'!$G$11*'Population 2004 Yield'!E44)+('Population Development Matrix'!$H$11*'Population 2004 Yield'!F44)+('Population Development Matrix'!$I$11*'Population 2004 Yield'!G44)+('Population Development Matrix'!$D$15*'Population 2004 Yield'!J44)+('Population Development Matrix'!$E$15*'Population 2004 Yield'!K44)+('Population Development Matrix'!$F$15*'Population 2004 Yield'!L44)+('Population Development Matrix'!$G$15*'Population 2004 Yield'!M44)+('Population Development Matrix'!$H$15*'Population 2004 Yield'!N44)+('Population Development Matrix'!$I$15*'Population 2004 Yield'!O44)</f>
        <v>0</v>
      </c>
      <c r="F15" s="46">
        <f t="shared" si="0"/>
        <v>0</v>
      </c>
      <c r="H15" s="47" t="s">
        <v>401</v>
      </c>
      <c r="I15" s="52">
        <f>('Population Development Matrix'!$D$9*'Population 2007 Yield'!B14)+('Population Development Matrix'!$E$9*'Population 2007 Yield'!C14)+('Population Development Matrix'!$F$9*'Population 2007 Yield'!D14)+('Population Development Matrix'!$G$9*'Population 2007 Yield'!E14)+('Population Development Matrix'!$H$9*'Population 2007 Yield'!F14)+('Population Development Matrix'!$I$9*'Population 2007 Yield'!G14)+('Population Development Matrix'!$D$13*'Population 2007 Yield'!J14)+('Population Development Matrix'!$E$13*'Population 2007 Yield'!K14)+('Population Development Matrix'!$F$13*'Population 2007 Yield'!L14)+('Population Development Matrix'!$G$13*'Population 2007 Yield'!M14)+('Population Development Matrix'!$H$13*'Population 2007 Yield'!N14)+('Population Development Matrix'!$I$13*'Population 2007 Yield'!O14)</f>
        <v>0</v>
      </c>
      <c r="J15" s="52">
        <f>('Population Development Matrix'!$D$10*'Population 2007 Yield'!B29)+('Population Development Matrix'!$E$10*'Population 2007 Yield'!C29)+('Population Development Matrix'!$F$10*'Population 2007 Yield'!D29)+('Population Development Matrix'!$G$10*'Population 2007 Yield'!E29)+('Population Development Matrix'!$H$10*'Population 2007 Yield'!F29)+('Population Development Matrix'!$I$10*'Population 2007 Yield'!G29)+('Population Development Matrix'!$D$14*'Population 2007 Yield'!J29)+('Population Development Matrix'!$E$14*'Population 2007 Yield'!K29)+('Population Development Matrix'!$F$14*'Population 2007 Yield'!L29)+('Population Development Matrix'!$G$14*'Population 2007 Yield'!M29)+('Population Development Matrix'!$H$14*'Population 2007 Yield'!N29)+('Population Development Matrix'!$I$14*'Population 2007 Yield'!O29)</f>
        <v>0</v>
      </c>
      <c r="K15" s="52">
        <f>('Population Development Matrix'!$D$11*'Population 2007 Yield'!B44)+('Population Development Matrix'!$E$11*'Population 2007 Yield'!C44)+('Population Development Matrix'!$F$11*'Population 2007 Yield'!D44)+('Population Development Matrix'!$G$11*'Population 2007 Yield'!E44)+('Population Development Matrix'!$H$11*'Population 2007 Yield'!F44)+('Population Development Matrix'!$I$11*'Population 2007 Yield'!G44)+('Population Development Matrix'!$D$15*'Population 2007 Yield'!J44)+('Population Development Matrix'!$E$15*'Population 2007 Yield'!K44)+('Population Development Matrix'!$F$15*'Population 2007 Yield'!L44)+('Population Development Matrix'!$G$15*'Population 2007 Yield'!M44)+('Population Development Matrix'!$H$15*'Population 2007 Yield'!N44)+('Population Development Matrix'!$I$15*'Population 2007 Yield'!O44)</f>
        <v>0</v>
      </c>
      <c r="L15" s="46">
        <f t="shared" si="1"/>
        <v>0</v>
      </c>
    </row>
    <row r="16" spans="2:12" x14ac:dyDescent="0.3">
      <c r="B16" s="47" t="s">
        <v>269</v>
      </c>
      <c r="C16" s="52">
        <f>('Population Development Matrix'!$D$9*'Population 2004 Yield'!B15)+('Population Development Matrix'!$E$9*'Population 2004 Yield'!C15)+('Population Development Matrix'!$F$9*'Population 2004 Yield'!D15)+('Population Development Matrix'!$G$9*'Population 2004 Yield'!E15)+('Population Development Matrix'!$H$9*'Population 2004 Yield'!F15)+('Population Development Matrix'!$I$9*'Population 2004 Yield'!G15)+('Population Development Matrix'!$D$13*'Population 2004 Yield'!J15)+('Population Development Matrix'!$E$13*'Population 2004 Yield'!K15)+('Population Development Matrix'!$F$13*'Population 2004 Yield'!L15)+('Population Development Matrix'!$G$13*'Population 2004 Yield'!M15)+('Population Development Matrix'!$H$13*'Population 2004 Yield'!N15)+('Population Development Matrix'!$I$13*'Population 2004 Yield'!O15)</f>
        <v>0</v>
      </c>
      <c r="D16" s="52">
        <f>('Population Development Matrix'!$D$10*'Population 2004 Yield'!B30)+('Population Development Matrix'!$E$10*'Population 2004 Yield'!C30)+('Population Development Matrix'!$F$10*'Population 2004 Yield'!D30)+('Population Development Matrix'!$G$10*'Population 2004 Yield'!E30)+('Population Development Matrix'!$H$10*'Population 2004 Yield'!F30)+('Population Development Matrix'!$I$10*'Population 2004 Yield'!G30)+('Population Development Matrix'!$D$14*'Population 2004 Yield'!J30)+('Population Development Matrix'!$E$14*'Population 2004 Yield'!K30)+('Population Development Matrix'!$F$14*'Population 2004 Yield'!L30)+('Population Development Matrix'!$G$14*'Population 2004 Yield'!M30)+('Population Development Matrix'!$H$14*'Population 2004 Yield'!N30)+('Population Development Matrix'!$I$14*'Population 2004 Yield'!O30)</f>
        <v>0</v>
      </c>
      <c r="E16" s="52">
        <f>('Population Development Matrix'!$D$11*'Population 2004 Yield'!B45)+('Population Development Matrix'!$E$11*'Population 2004 Yield'!C45)+('Population Development Matrix'!$F$11*'Population 2004 Yield'!D45)+('Population Development Matrix'!$G$11*'Population 2004 Yield'!E45)+('Population Development Matrix'!$H$11*'Population 2004 Yield'!F45)+('Population Development Matrix'!$I$11*'Population 2004 Yield'!G45)+('Population Development Matrix'!$D$15*'Population 2004 Yield'!J45)+('Population Development Matrix'!$E$15*'Population 2004 Yield'!K45)+('Population Development Matrix'!$F$15*'Population 2004 Yield'!L45)+('Population Development Matrix'!$G$15*'Population 2004 Yield'!M45)+('Population Development Matrix'!$H$15*'Population 2004 Yield'!N45)+('Population Development Matrix'!$I$15*'Population 2004 Yield'!O45)</f>
        <v>0</v>
      </c>
      <c r="F16" s="46">
        <f t="shared" si="0"/>
        <v>0</v>
      </c>
      <c r="H16" s="47" t="s">
        <v>269</v>
      </c>
      <c r="I16" s="52">
        <f>('Population Development Matrix'!$D$9*'Population 2007 Yield'!B15)+('Population Development Matrix'!$E$9*'Population 2007 Yield'!C15)+('Population Development Matrix'!$F$9*'Population 2007 Yield'!D15)+('Population Development Matrix'!$G$9*'Population 2007 Yield'!E15)+('Population Development Matrix'!$H$9*'Population 2007 Yield'!F15)+('Population Development Matrix'!$I$9*'Population 2007 Yield'!G15)+('Population Development Matrix'!$D$13*'Population 2007 Yield'!J15)+('Population Development Matrix'!$E$13*'Population 2007 Yield'!K15)+('Population Development Matrix'!$F$13*'Population 2007 Yield'!L15)+('Population Development Matrix'!$G$13*'Population 2007 Yield'!M15)+('Population Development Matrix'!$H$13*'Population 2007 Yield'!N15)+('Population Development Matrix'!$I$13*'Population 2007 Yield'!O15)</f>
        <v>0</v>
      </c>
      <c r="J16" s="52">
        <f>('Population Development Matrix'!$D$10*'Population 2007 Yield'!B30)+('Population Development Matrix'!$E$10*'Population 2007 Yield'!C30)+('Population Development Matrix'!$F$10*'Population 2007 Yield'!D30)+('Population Development Matrix'!$G$10*'Population 2007 Yield'!E30)+('Population Development Matrix'!$H$10*'Population 2007 Yield'!F30)+('Population Development Matrix'!$I$10*'Population 2007 Yield'!G30)+('Population Development Matrix'!$D$14*'Population 2007 Yield'!J30)+('Population Development Matrix'!$E$14*'Population 2007 Yield'!K30)+('Population Development Matrix'!$F$14*'Population 2007 Yield'!L30)+('Population Development Matrix'!$G$14*'Population 2007 Yield'!M30)+('Population Development Matrix'!$H$14*'Population 2007 Yield'!N30)+('Population Development Matrix'!$I$14*'Population 2007 Yield'!O30)</f>
        <v>0</v>
      </c>
      <c r="K16" s="52">
        <f>('Population Development Matrix'!$D$11*'Population 2007 Yield'!B45)+('Population Development Matrix'!$E$11*'Population 2007 Yield'!C45)+('Population Development Matrix'!$F$11*'Population 2007 Yield'!D45)+('Population Development Matrix'!$G$11*'Population 2007 Yield'!E45)+('Population Development Matrix'!$H$11*'Population 2007 Yield'!F45)+('Population Development Matrix'!$I$11*'Population 2007 Yield'!G45)+('Population Development Matrix'!$D$15*'Population 2007 Yield'!J45)+('Population Development Matrix'!$E$15*'Population 2007 Yield'!K45)+('Population Development Matrix'!$F$15*'Population 2007 Yield'!L45)+('Population Development Matrix'!$G$15*'Population 2007 Yield'!M45)+('Population Development Matrix'!$H$15*'Population 2007 Yield'!N45)+('Population Development Matrix'!$I$15*'Population 2007 Yield'!O45)</f>
        <v>0</v>
      </c>
      <c r="L16" s="46">
        <f t="shared" si="1"/>
        <v>0</v>
      </c>
    </row>
    <row r="17" spans="2:12" x14ac:dyDescent="0.3">
      <c r="B17" s="47" t="s">
        <v>120</v>
      </c>
      <c r="C17" s="46">
        <f>SUM(C7:C16)</f>
        <v>0</v>
      </c>
      <c r="D17" s="46">
        <f>SUM(D7:D16)</f>
        <v>0</v>
      </c>
      <c r="E17" s="46">
        <f>SUM(E7:E16)</f>
        <v>0</v>
      </c>
      <c r="F17" s="46">
        <f t="shared" si="0"/>
        <v>0</v>
      </c>
      <c r="H17" s="47" t="s">
        <v>120</v>
      </c>
      <c r="I17" s="46">
        <f>SUM(I7:I16)</f>
        <v>0</v>
      </c>
      <c r="J17" s="46">
        <f>SUM(J7:J16)</f>
        <v>0</v>
      </c>
      <c r="K17" s="46">
        <f>SUM(K7:K16)</f>
        <v>0</v>
      </c>
      <c r="L17" s="46">
        <f t="shared" si="1"/>
        <v>0</v>
      </c>
    </row>
    <row r="18" spans="2:12" x14ac:dyDescent="0.3">
      <c r="B18" s="31"/>
      <c r="C18" s="33"/>
      <c r="D18" s="33"/>
      <c r="E18" s="33"/>
      <c r="F18" s="33"/>
      <c r="H18" s="31"/>
    </row>
    <row r="19" spans="2:12" x14ac:dyDescent="0.3">
      <c r="B19" s="416" t="s">
        <v>402</v>
      </c>
      <c r="C19" s="416"/>
      <c r="D19" s="416"/>
      <c r="E19" s="416"/>
      <c r="F19" s="416"/>
      <c r="H19" s="416" t="s">
        <v>403</v>
      </c>
      <c r="I19" s="416"/>
      <c r="J19" s="416"/>
      <c r="K19" s="416"/>
      <c r="L19" s="416"/>
    </row>
    <row r="20" spans="2:12" x14ac:dyDescent="0.3">
      <c r="B20" s="31"/>
      <c r="C20" s="33"/>
      <c r="D20" s="33"/>
      <c r="E20" s="33"/>
      <c r="F20" s="33"/>
      <c r="H20" s="31"/>
    </row>
    <row r="21" spans="2:12" x14ac:dyDescent="0.3">
      <c r="B21" s="51" t="s">
        <v>257</v>
      </c>
      <c r="C21" s="47" t="s">
        <v>122</v>
      </c>
      <c r="D21" s="47" t="s">
        <v>123</v>
      </c>
      <c r="E21" s="47" t="s">
        <v>385</v>
      </c>
      <c r="F21" s="50" t="s">
        <v>120</v>
      </c>
      <c r="H21" s="51" t="s">
        <v>257</v>
      </c>
      <c r="I21" s="47" t="s">
        <v>122</v>
      </c>
      <c r="J21" s="47" t="s">
        <v>123</v>
      </c>
      <c r="K21" s="47" t="s">
        <v>385</v>
      </c>
      <c r="L21" s="50" t="s">
        <v>120</v>
      </c>
    </row>
    <row r="22" spans="2:12" x14ac:dyDescent="0.3">
      <c r="B22" s="47" t="s">
        <v>404</v>
      </c>
      <c r="C22" s="48">
        <f>+C7+C8</f>
        <v>0</v>
      </c>
      <c r="D22" s="48">
        <f>+D7+D8</f>
        <v>0</v>
      </c>
      <c r="E22" s="48">
        <f>+E7+E8</f>
        <v>0</v>
      </c>
      <c r="F22" s="46">
        <f>SUM(C22:E22)</f>
        <v>0</v>
      </c>
      <c r="H22" s="47" t="s">
        <v>404</v>
      </c>
      <c r="I22" s="48">
        <f>+I7+I8</f>
        <v>0</v>
      </c>
      <c r="J22" s="48">
        <f>+J7+J8</f>
        <v>0</v>
      </c>
      <c r="K22" s="48">
        <f>+K7+K8</f>
        <v>0</v>
      </c>
      <c r="L22" s="46">
        <f>SUM(I22:K22)</f>
        <v>0</v>
      </c>
    </row>
    <row r="23" spans="2:12" x14ac:dyDescent="0.3">
      <c r="B23" s="49" t="s">
        <v>395</v>
      </c>
      <c r="C23" s="48">
        <f t="shared" ref="C23:E24" si="2">+C9</f>
        <v>0</v>
      </c>
      <c r="D23" s="48">
        <f t="shared" si="2"/>
        <v>0</v>
      </c>
      <c r="E23" s="48">
        <f t="shared" si="2"/>
        <v>0</v>
      </c>
      <c r="F23" s="46">
        <f>SUM(C23:E23)</f>
        <v>0</v>
      </c>
      <c r="H23" s="49" t="s">
        <v>395</v>
      </c>
      <c r="I23" s="48">
        <f t="shared" ref="I23:K24" si="3">+I9</f>
        <v>0</v>
      </c>
      <c r="J23" s="48">
        <f t="shared" si="3"/>
        <v>0</v>
      </c>
      <c r="K23" s="48">
        <f t="shared" si="3"/>
        <v>0</v>
      </c>
      <c r="L23" s="46">
        <f>SUM(I23:K23)</f>
        <v>0</v>
      </c>
    </row>
    <row r="24" spans="2:12" x14ac:dyDescent="0.3">
      <c r="B24" s="49" t="s">
        <v>396</v>
      </c>
      <c r="C24" s="48">
        <f t="shared" si="2"/>
        <v>0</v>
      </c>
      <c r="D24" s="48">
        <f t="shared" si="2"/>
        <v>0</v>
      </c>
      <c r="E24" s="48">
        <f t="shared" si="2"/>
        <v>0</v>
      </c>
      <c r="F24" s="46">
        <f>SUM(C24:E24)</f>
        <v>0</v>
      </c>
      <c r="H24" s="49" t="s">
        <v>396</v>
      </c>
      <c r="I24" s="48">
        <f t="shared" si="3"/>
        <v>0</v>
      </c>
      <c r="J24" s="48">
        <f t="shared" si="3"/>
        <v>0</v>
      </c>
      <c r="K24" s="48">
        <f t="shared" si="3"/>
        <v>0</v>
      </c>
      <c r="L24" s="46">
        <f>SUM(I24:K24)</f>
        <v>0</v>
      </c>
    </row>
    <row r="25" spans="2:12" x14ac:dyDescent="0.3">
      <c r="B25" s="47" t="s">
        <v>120</v>
      </c>
      <c r="C25" s="46">
        <f>SUM(C22:C24)</f>
        <v>0</v>
      </c>
      <c r="D25" s="46">
        <f>SUM(D22:D24)</f>
        <v>0</v>
      </c>
      <c r="E25" s="46">
        <f>SUM(E22:E24)</f>
        <v>0</v>
      </c>
      <c r="F25" s="46">
        <f>SUM(F22:F24)</f>
        <v>0</v>
      </c>
      <c r="H25" s="47" t="s">
        <v>120</v>
      </c>
      <c r="I25" s="46">
        <f>SUM(I22:I24)</f>
        <v>0</v>
      </c>
      <c r="J25" s="46">
        <f>SUM(J22:J24)</f>
        <v>0</v>
      </c>
      <c r="K25" s="46">
        <f>SUM(K22:K24)</f>
        <v>0</v>
      </c>
      <c r="L25" s="46">
        <f>SUM(L22:L24)</f>
        <v>0</v>
      </c>
    </row>
    <row r="26" spans="2:12" x14ac:dyDescent="0.3">
      <c r="B26" s="33"/>
      <c r="C26" s="33"/>
      <c r="D26" s="33"/>
      <c r="E26" s="33"/>
      <c r="F26" s="33"/>
    </row>
    <row r="27" spans="2:12" x14ac:dyDescent="0.3">
      <c r="B27" s="426" t="s">
        <v>405</v>
      </c>
      <c r="C27" s="426"/>
      <c r="D27" s="426"/>
      <c r="E27" s="426"/>
      <c r="F27" s="426"/>
      <c r="G27" s="45"/>
      <c r="H27" s="426" t="s">
        <v>406</v>
      </c>
      <c r="I27" s="426"/>
      <c r="J27" s="426"/>
      <c r="K27" s="426"/>
      <c r="L27" s="426"/>
    </row>
    <row r="28" spans="2:12" x14ac:dyDescent="0.3">
      <c r="B28" s="33"/>
      <c r="C28" s="33"/>
      <c r="D28" s="33"/>
      <c r="E28" s="33"/>
      <c r="F28" s="33"/>
    </row>
    <row r="29" spans="2:12" x14ac:dyDescent="0.3">
      <c r="B29" s="33"/>
      <c r="C29" s="33"/>
      <c r="D29" s="33"/>
      <c r="E29" s="33"/>
      <c r="F29" s="33"/>
    </row>
    <row r="30" spans="2:12" x14ac:dyDescent="0.3">
      <c r="B30" s="33"/>
      <c r="C30" s="33"/>
      <c r="D30" s="33"/>
      <c r="E30" s="33"/>
      <c r="F30" s="33"/>
    </row>
    <row r="31" spans="2:12" x14ac:dyDescent="0.3">
      <c r="B31" s="33"/>
      <c r="C31" s="33"/>
      <c r="D31" s="33"/>
      <c r="E31" s="33"/>
      <c r="F31" s="33"/>
    </row>
    <row r="32" spans="2:12" x14ac:dyDescent="0.3">
      <c r="B32" s="33"/>
      <c r="C32" s="33"/>
      <c r="D32" s="33"/>
      <c r="E32" s="33"/>
      <c r="F32" s="33"/>
    </row>
    <row r="33" spans="2:6" x14ac:dyDescent="0.3">
      <c r="B33" s="33"/>
      <c r="C33" s="33"/>
      <c r="D33" s="33"/>
      <c r="E33" s="33"/>
      <c r="F33" s="33"/>
    </row>
    <row r="34" spans="2:6" x14ac:dyDescent="0.3">
      <c r="B34" s="33"/>
      <c r="C34" s="33"/>
      <c r="D34" s="33"/>
      <c r="E34" s="33"/>
      <c r="F34" s="33"/>
    </row>
    <row r="35" spans="2:6" x14ac:dyDescent="0.3">
      <c r="B35" s="33"/>
      <c r="C35" s="33"/>
      <c r="D35" s="33"/>
      <c r="E35" s="33"/>
      <c r="F35" s="33"/>
    </row>
    <row r="36" spans="2:6" x14ac:dyDescent="0.3">
      <c r="B36" s="33"/>
      <c r="C36" s="33"/>
      <c r="D36" s="33"/>
      <c r="E36" s="33"/>
      <c r="F36" s="33"/>
    </row>
    <row r="37" spans="2:6" x14ac:dyDescent="0.3">
      <c r="B37" s="33"/>
      <c r="C37" s="33"/>
      <c r="D37" s="33"/>
      <c r="E37" s="33"/>
      <c r="F37" s="33"/>
    </row>
    <row r="38" spans="2:6" x14ac:dyDescent="0.3">
      <c r="B38" s="33"/>
      <c r="C38" s="33"/>
      <c r="D38" s="33"/>
      <c r="E38" s="33"/>
      <c r="F38" s="33"/>
    </row>
    <row r="39" spans="2:6" x14ac:dyDescent="0.3">
      <c r="B39" s="33"/>
      <c r="C39" s="33"/>
      <c r="D39" s="33"/>
      <c r="E39" s="33"/>
      <c r="F39" s="33"/>
    </row>
    <row r="40" spans="2:6" x14ac:dyDescent="0.3">
      <c r="B40" s="33"/>
      <c r="C40" s="33"/>
      <c r="D40" s="33"/>
      <c r="E40" s="33"/>
      <c r="F40" s="33"/>
    </row>
    <row r="41" spans="2:6" x14ac:dyDescent="0.3">
      <c r="B41" s="33"/>
      <c r="C41" s="33"/>
      <c r="D41" s="33"/>
      <c r="E41" s="33"/>
      <c r="F41" s="33"/>
    </row>
    <row r="42" spans="2:6" x14ac:dyDescent="0.3">
      <c r="B42" s="33"/>
      <c r="C42" s="33"/>
      <c r="D42" s="33"/>
      <c r="E42" s="33"/>
      <c r="F42" s="33"/>
    </row>
    <row r="43" spans="2:6" x14ac:dyDescent="0.3">
      <c r="B43" s="33"/>
      <c r="C43" s="33"/>
      <c r="D43" s="33"/>
      <c r="E43" s="33"/>
      <c r="F43" s="33"/>
    </row>
    <row r="44" spans="2:6" x14ac:dyDescent="0.3">
      <c r="B44" s="33"/>
      <c r="C44" s="33"/>
      <c r="D44" s="33"/>
      <c r="E44" s="33"/>
      <c r="F44" s="33"/>
    </row>
    <row r="45" spans="2:6" x14ac:dyDescent="0.3">
      <c r="B45" s="33"/>
      <c r="C45" s="33"/>
      <c r="D45" s="33"/>
      <c r="E45" s="33"/>
      <c r="F45" s="33"/>
    </row>
    <row r="46" spans="2:6" x14ac:dyDescent="0.3">
      <c r="B46" s="33"/>
      <c r="C46" s="33"/>
      <c r="D46" s="33"/>
      <c r="E46" s="33"/>
      <c r="F46" s="33"/>
    </row>
    <row r="47" spans="2:6" x14ac:dyDescent="0.3">
      <c r="B47" s="33"/>
      <c r="C47" s="33"/>
      <c r="D47" s="33"/>
      <c r="E47" s="33"/>
      <c r="F47" s="33"/>
    </row>
    <row r="48" spans="2:6" x14ac:dyDescent="0.3">
      <c r="B48" s="33"/>
      <c r="C48" s="33"/>
      <c r="D48" s="33"/>
      <c r="E48" s="33"/>
      <c r="F48" s="33"/>
    </row>
    <row r="49" s="33" customFormat="1" x14ac:dyDescent="0.3"/>
    <row r="50" s="33" customFormat="1" x14ac:dyDescent="0.3"/>
    <row r="51" s="33" customFormat="1" x14ac:dyDescent="0.3"/>
    <row r="52" s="33" customFormat="1" x14ac:dyDescent="0.3"/>
    <row r="53" s="33" customFormat="1" x14ac:dyDescent="0.3"/>
    <row r="54" s="33" customFormat="1" x14ac:dyDescent="0.3"/>
  </sheetData>
  <mergeCells count="8">
    <mergeCell ref="B27:F27"/>
    <mergeCell ref="H27:L27"/>
    <mergeCell ref="B1:J1"/>
    <mergeCell ref="K1:L1"/>
    <mergeCell ref="B19:F19"/>
    <mergeCell ref="B4:F4"/>
    <mergeCell ref="H4:L4"/>
    <mergeCell ref="H19:L19"/>
  </mergeCells>
  <pageMargins left="0.75" right="0.75" top="1" bottom="1" header="0.5" footer="0.5"/>
  <pageSetup paperSize="9" scale="73" orientation="landscape" r:id="rId1"/>
  <headerFooter alignWithMargins="0">
    <oddHeader>&amp;L&amp;"Calibri"&amp;10&amp;K000000Official&amp;1#</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Z52"/>
  <sheetViews>
    <sheetView workbookViewId="0"/>
  </sheetViews>
  <sheetFormatPr defaultColWidth="9.140625" defaultRowHeight="11.25" x14ac:dyDescent="0.2"/>
  <cols>
    <col min="1" max="7" width="5.42578125" style="14" customWidth="1"/>
    <col min="8" max="8" width="2.85546875" style="14" customWidth="1"/>
    <col min="9" max="9" width="6" style="14" customWidth="1"/>
    <col min="10" max="15" width="5.42578125" style="14" customWidth="1"/>
    <col min="16" max="16" width="3" style="14" customWidth="1"/>
    <col min="17" max="16384" width="9.140625" style="14"/>
  </cols>
  <sheetData>
    <row r="1" spans="1:17" ht="12.75" x14ac:dyDescent="0.2">
      <c r="A1" s="13" t="s">
        <v>407</v>
      </c>
    </row>
    <row r="3" spans="1:17" x14ac:dyDescent="0.2">
      <c r="A3" s="15" t="s">
        <v>408</v>
      </c>
      <c r="I3" s="15" t="s">
        <v>409</v>
      </c>
      <c r="Q3" s="15" t="s">
        <v>410</v>
      </c>
    </row>
    <row r="4" spans="1:17" x14ac:dyDescent="0.2">
      <c r="A4" s="429" t="s">
        <v>257</v>
      </c>
      <c r="B4" s="431" t="s">
        <v>383</v>
      </c>
      <c r="C4" s="432"/>
      <c r="D4" s="432"/>
      <c r="E4" s="432"/>
      <c r="F4" s="432"/>
      <c r="G4" s="433"/>
      <c r="H4" s="16"/>
      <c r="I4" s="429" t="s">
        <v>257</v>
      </c>
      <c r="J4" s="431" t="s">
        <v>383</v>
      </c>
      <c r="K4" s="432"/>
      <c r="L4" s="432"/>
      <c r="M4" s="432"/>
      <c r="N4" s="432"/>
      <c r="O4" s="433"/>
      <c r="Q4" s="14" t="s">
        <v>411</v>
      </c>
    </row>
    <row r="5" spans="1:17" x14ac:dyDescent="0.2">
      <c r="A5" s="430"/>
      <c r="B5" s="17">
        <v>0</v>
      </c>
      <c r="C5" s="17">
        <v>1</v>
      </c>
      <c r="D5" s="17">
        <v>2</v>
      </c>
      <c r="E5" s="17">
        <v>3</v>
      </c>
      <c r="F5" s="17">
        <v>4</v>
      </c>
      <c r="G5" s="18" t="s">
        <v>384</v>
      </c>
      <c r="H5" s="16"/>
      <c r="I5" s="430"/>
      <c r="J5" s="17">
        <v>0</v>
      </c>
      <c r="K5" s="17">
        <v>1</v>
      </c>
      <c r="L5" s="17">
        <v>2</v>
      </c>
      <c r="M5" s="17">
        <v>3</v>
      </c>
      <c r="N5" s="17">
        <v>4</v>
      </c>
      <c r="O5" s="18" t="s">
        <v>384</v>
      </c>
      <c r="Q5" s="14" t="s">
        <v>412</v>
      </c>
    </row>
    <row r="6" spans="1:17" x14ac:dyDescent="0.2">
      <c r="A6" s="19" t="s">
        <v>393</v>
      </c>
      <c r="B6" s="20">
        <v>3.7174721189591076E-3</v>
      </c>
      <c r="C6" s="20">
        <v>3.7174721189591076E-3</v>
      </c>
      <c r="D6" s="20">
        <v>5.5555555555555552E-2</v>
      </c>
      <c r="E6" s="20">
        <v>0.1</v>
      </c>
      <c r="F6" s="20">
        <v>0</v>
      </c>
      <c r="G6" s="20">
        <v>0</v>
      </c>
      <c r="H6" s="16"/>
      <c r="I6" s="19" t="s">
        <v>393</v>
      </c>
      <c r="J6" s="20">
        <v>0.16666666666666666</v>
      </c>
      <c r="K6" s="20">
        <v>0.16666666666666666</v>
      </c>
      <c r="L6" s="20">
        <v>3.7499999999999999E-2</v>
      </c>
      <c r="M6" s="20">
        <v>0.2</v>
      </c>
      <c r="N6" s="20">
        <v>0.35514018691588783</v>
      </c>
      <c r="O6" s="20">
        <v>0.22222222222222221</v>
      </c>
      <c r="Q6" s="14" t="s">
        <v>413</v>
      </c>
    </row>
    <row r="7" spans="1:17" x14ac:dyDescent="0.2">
      <c r="A7" s="21" t="s">
        <v>394</v>
      </c>
      <c r="B7" s="20">
        <v>0</v>
      </c>
      <c r="C7" s="20">
        <v>0</v>
      </c>
      <c r="D7" s="20">
        <v>1.3888888888888888E-2</v>
      </c>
      <c r="E7" s="20">
        <v>7.0000000000000007E-2</v>
      </c>
      <c r="F7" s="20">
        <v>0</v>
      </c>
      <c r="G7" s="20">
        <v>0</v>
      </c>
      <c r="H7" s="16"/>
      <c r="I7" s="21" t="s">
        <v>394</v>
      </c>
      <c r="J7" s="20">
        <v>0</v>
      </c>
      <c r="K7" s="20">
        <v>0</v>
      </c>
      <c r="L7" s="20">
        <v>3.7499999999999999E-2</v>
      </c>
      <c r="M7" s="20">
        <v>9.4117647058823528E-2</v>
      </c>
      <c r="N7" s="20">
        <v>0.27102803738317754</v>
      </c>
      <c r="O7" s="20">
        <v>0.1388888888888889</v>
      </c>
    </row>
    <row r="8" spans="1:17" x14ac:dyDescent="0.2">
      <c r="A8" s="21" t="s">
        <v>395</v>
      </c>
      <c r="B8" s="20">
        <v>0</v>
      </c>
      <c r="C8" s="20">
        <v>0</v>
      </c>
      <c r="D8" s="20">
        <v>1.9230769230769232E-2</v>
      </c>
      <c r="E8" s="20">
        <v>0.11</v>
      </c>
      <c r="F8" s="20">
        <v>0</v>
      </c>
      <c r="G8" s="20">
        <v>0</v>
      </c>
      <c r="H8" s="16"/>
      <c r="I8" s="21" t="s">
        <v>395</v>
      </c>
      <c r="J8" s="20">
        <v>0</v>
      </c>
      <c r="K8" s="20">
        <v>0</v>
      </c>
      <c r="L8" s="20">
        <v>2.5000000000000001E-2</v>
      </c>
      <c r="M8" s="20">
        <v>0.1</v>
      </c>
      <c r="N8" s="20">
        <v>0.30841121495327101</v>
      </c>
      <c r="O8" s="20">
        <v>0.58333333333333337</v>
      </c>
    </row>
    <row r="9" spans="1:17" x14ac:dyDescent="0.2">
      <c r="A9" s="21" t="s">
        <v>396</v>
      </c>
      <c r="B9" s="20">
        <v>0</v>
      </c>
      <c r="C9" s="20">
        <v>0</v>
      </c>
      <c r="D9" s="20">
        <v>6.41025641025641E-3</v>
      </c>
      <c r="E9" s="20">
        <v>0.03</v>
      </c>
      <c r="F9" s="20">
        <v>0</v>
      </c>
      <c r="G9" s="20">
        <v>0</v>
      </c>
      <c r="H9" s="16"/>
      <c r="I9" s="21" t="s">
        <v>396</v>
      </c>
      <c r="J9" s="20">
        <v>0</v>
      </c>
      <c r="K9" s="20">
        <v>0</v>
      </c>
      <c r="L9" s="20">
        <v>1.2500000000000001E-2</v>
      </c>
      <c r="M9" s="20">
        <v>4.7058823529411764E-2</v>
      </c>
      <c r="N9" s="20">
        <v>0.13084112149532709</v>
      </c>
      <c r="O9" s="20">
        <v>0.25</v>
      </c>
    </row>
    <row r="10" spans="1:17" x14ac:dyDescent="0.2">
      <c r="A10" s="21" t="s">
        <v>397</v>
      </c>
      <c r="B10" s="20">
        <v>7.4349442379182153E-3</v>
      </c>
      <c r="C10" s="20">
        <v>7.4349442379182153E-3</v>
      </c>
      <c r="D10" s="20">
        <v>1.1752136752136752E-2</v>
      </c>
      <c r="E10" s="20">
        <v>0.02</v>
      </c>
      <c r="F10" s="20">
        <v>0</v>
      </c>
      <c r="G10" s="20">
        <v>0</v>
      </c>
      <c r="H10" s="16"/>
      <c r="I10" s="21" t="s">
        <v>397</v>
      </c>
      <c r="J10" s="20">
        <v>0</v>
      </c>
      <c r="K10" s="20">
        <v>0</v>
      </c>
      <c r="L10" s="20">
        <v>1.2500000000000001E-2</v>
      </c>
      <c r="M10" s="20">
        <v>1.1764705882352941E-2</v>
      </c>
      <c r="N10" s="20">
        <v>4.6728971962616821E-2</v>
      </c>
      <c r="O10" s="20">
        <v>0.22222222222222221</v>
      </c>
    </row>
    <row r="11" spans="1:17" x14ac:dyDescent="0.2">
      <c r="A11" s="19" t="s">
        <v>398</v>
      </c>
      <c r="B11" s="20">
        <v>0.5985130111524164</v>
      </c>
      <c r="C11" s="20">
        <v>0.5985130111524164</v>
      </c>
      <c r="D11" s="20">
        <v>0.69978632478632474</v>
      </c>
      <c r="E11" s="20">
        <v>0.42</v>
      </c>
      <c r="F11" s="20">
        <v>1.1428571428571428</v>
      </c>
      <c r="G11" s="20">
        <v>1.1428571428571428</v>
      </c>
      <c r="H11" s="16"/>
      <c r="I11" s="19" t="s">
        <v>398</v>
      </c>
      <c r="J11" s="20">
        <v>0.5</v>
      </c>
      <c r="K11" s="20">
        <v>0.5</v>
      </c>
      <c r="L11" s="20">
        <v>0.47499999999999998</v>
      </c>
      <c r="M11" s="20">
        <v>0.37647058823529411</v>
      </c>
      <c r="N11" s="20">
        <v>0.41121495327102803</v>
      </c>
      <c r="O11" s="20">
        <v>0.75</v>
      </c>
    </row>
    <row r="12" spans="1:17" x14ac:dyDescent="0.2">
      <c r="A12" s="19" t="s">
        <v>399</v>
      </c>
      <c r="B12" s="20">
        <v>0.53903345724907059</v>
      </c>
      <c r="C12" s="20">
        <v>0.53903345724907059</v>
      </c>
      <c r="D12" s="20">
        <v>0.63034188034188032</v>
      </c>
      <c r="E12" s="20">
        <v>0.56000000000000005</v>
      </c>
      <c r="F12" s="20">
        <v>0.7142857142857143</v>
      </c>
      <c r="G12" s="20">
        <v>0.7142857142857143</v>
      </c>
      <c r="H12" s="16"/>
      <c r="I12" s="19" t="s">
        <v>399</v>
      </c>
      <c r="J12" s="20">
        <v>0.5</v>
      </c>
      <c r="K12" s="20">
        <v>0.5</v>
      </c>
      <c r="L12" s="20">
        <v>0.75</v>
      </c>
      <c r="M12" s="20">
        <v>0.89411764705882357</v>
      </c>
      <c r="N12" s="20">
        <v>0.91588785046728971</v>
      </c>
      <c r="O12" s="20">
        <v>0.83333333333333337</v>
      </c>
    </row>
    <row r="13" spans="1:17" x14ac:dyDescent="0.2">
      <c r="A13" s="19" t="s">
        <v>400</v>
      </c>
      <c r="B13" s="20">
        <v>0.14869888475836432</v>
      </c>
      <c r="C13" s="20">
        <v>0.14869888475836432</v>
      </c>
      <c r="D13" s="20">
        <v>0.27777777777777779</v>
      </c>
      <c r="E13" s="20">
        <v>0.61</v>
      </c>
      <c r="F13" s="20">
        <v>0.42857142857142855</v>
      </c>
      <c r="G13" s="20">
        <v>0.42857142857142855</v>
      </c>
      <c r="H13" s="16"/>
      <c r="I13" s="19" t="s">
        <v>400</v>
      </c>
      <c r="J13" s="20">
        <v>0.33333333333333331</v>
      </c>
      <c r="K13" s="20">
        <v>0.33333333333333331</v>
      </c>
      <c r="L13" s="20">
        <v>0.33750000000000002</v>
      </c>
      <c r="M13" s="20">
        <v>0.46470588235294119</v>
      </c>
      <c r="N13" s="20">
        <v>0.7009345794392523</v>
      </c>
      <c r="O13" s="20">
        <v>0.91666666666666663</v>
      </c>
    </row>
    <row r="14" spans="1:17" x14ac:dyDescent="0.2">
      <c r="A14" s="19" t="s">
        <v>401</v>
      </c>
      <c r="B14" s="20">
        <v>9.6654275092936809E-2</v>
      </c>
      <c r="C14" s="20">
        <v>9.6654275092936809E-2</v>
      </c>
      <c r="D14" s="20">
        <v>8.3333333333333329E-2</v>
      </c>
      <c r="E14" s="20">
        <v>0.28000000000000003</v>
      </c>
      <c r="F14" s="20">
        <v>0.42857142857142855</v>
      </c>
      <c r="G14" s="20">
        <v>0.42857142857142855</v>
      </c>
      <c r="H14" s="16"/>
      <c r="I14" s="19" t="s">
        <v>401</v>
      </c>
      <c r="J14" s="20">
        <v>0</v>
      </c>
      <c r="K14" s="20">
        <v>0</v>
      </c>
      <c r="L14" s="20">
        <v>0.05</v>
      </c>
      <c r="M14" s="20">
        <v>0.14117647058823529</v>
      </c>
      <c r="N14" s="20">
        <v>0.13084112149532709</v>
      </c>
      <c r="O14" s="20">
        <v>2.7777777777777776E-2</v>
      </c>
    </row>
    <row r="15" spans="1:17" x14ac:dyDescent="0.2">
      <c r="A15" s="22" t="s">
        <v>269</v>
      </c>
      <c r="B15" s="20">
        <v>7.4349442379182153E-3</v>
      </c>
      <c r="C15" s="20">
        <v>7.4349442379182153E-3</v>
      </c>
      <c r="D15" s="20">
        <v>1.1752136752136752E-2</v>
      </c>
      <c r="E15" s="20">
        <v>0</v>
      </c>
      <c r="F15" s="20">
        <v>0</v>
      </c>
      <c r="G15" s="20">
        <v>0</v>
      </c>
      <c r="H15" s="16"/>
      <c r="I15" s="22" t="s">
        <v>269</v>
      </c>
      <c r="J15" s="20">
        <v>0</v>
      </c>
      <c r="K15" s="20">
        <v>0</v>
      </c>
      <c r="L15" s="20">
        <v>0</v>
      </c>
      <c r="M15" s="20">
        <v>5.8823529411764705E-3</v>
      </c>
      <c r="N15" s="20">
        <v>0</v>
      </c>
      <c r="O15" s="20">
        <v>0</v>
      </c>
    </row>
    <row r="16" spans="1:17" x14ac:dyDescent="0.2">
      <c r="A16" s="17" t="s">
        <v>120</v>
      </c>
      <c r="B16" s="23">
        <v>1.4014869888475838</v>
      </c>
      <c r="C16" s="23">
        <v>1.4014869888475838</v>
      </c>
      <c r="D16" s="23">
        <v>1.8098290598290598</v>
      </c>
      <c r="E16" s="23">
        <v>2.2000000000000002</v>
      </c>
      <c r="F16" s="23">
        <v>2.714285714285714</v>
      </c>
      <c r="G16" s="23">
        <v>2.714285714285714</v>
      </c>
      <c r="H16" s="16"/>
      <c r="I16" s="17" t="s">
        <v>120</v>
      </c>
      <c r="J16" s="24">
        <v>1.5</v>
      </c>
      <c r="K16" s="24">
        <v>1.5</v>
      </c>
      <c r="L16" s="24">
        <v>1.7375</v>
      </c>
      <c r="M16" s="24">
        <v>2.335294117647059</v>
      </c>
      <c r="N16" s="24">
        <v>3.2710280373831773</v>
      </c>
      <c r="O16" s="24">
        <v>3.9444444444444442</v>
      </c>
    </row>
    <row r="18" spans="1:17" x14ac:dyDescent="0.2">
      <c r="A18" s="15" t="s">
        <v>414</v>
      </c>
      <c r="B18" s="16"/>
      <c r="C18" s="16"/>
      <c r="D18" s="16"/>
      <c r="E18" s="16"/>
      <c r="F18" s="16"/>
      <c r="G18" s="16"/>
      <c r="H18" s="16"/>
      <c r="I18" s="25" t="s">
        <v>415</v>
      </c>
      <c r="J18" s="16"/>
      <c r="K18" s="16"/>
      <c r="L18" s="16"/>
      <c r="M18" s="16"/>
      <c r="N18" s="16"/>
      <c r="O18" s="16"/>
      <c r="Q18" s="15" t="s">
        <v>416</v>
      </c>
    </row>
    <row r="19" spans="1:17" x14ac:dyDescent="0.2">
      <c r="A19" s="438" t="s">
        <v>257</v>
      </c>
      <c r="B19" s="435" t="s">
        <v>383</v>
      </c>
      <c r="C19" s="436"/>
      <c r="D19" s="436"/>
      <c r="E19" s="436"/>
      <c r="F19" s="436"/>
      <c r="G19" s="437"/>
      <c r="I19" s="438" t="s">
        <v>257</v>
      </c>
      <c r="J19" s="435" t="s">
        <v>383</v>
      </c>
      <c r="K19" s="436"/>
      <c r="L19" s="436"/>
      <c r="M19" s="436"/>
      <c r="N19" s="436"/>
      <c r="O19" s="437"/>
      <c r="Q19" s="14" t="s">
        <v>411</v>
      </c>
    </row>
    <row r="20" spans="1:17" x14ac:dyDescent="0.2">
      <c r="A20" s="439"/>
      <c r="B20" s="17">
        <v>0</v>
      </c>
      <c r="C20" s="17">
        <v>1</v>
      </c>
      <c r="D20" s="17">
        <v>2</v>
      </c>
      <c r="E20" s="17">
        <v>3</v>
      </c>
      <c r="F20" s="17">
        <v>4</v>
      </c>
      <c r="G20" s="18" t="s">
        <v>384</v>
      </c>
      <c r="I20" s="439"/>
      <c r="J20" s="17">
        <v>0</v>
      </c>
      <c r="K20" s="17">
        <v>1</v>
      </c>
      <c r="L20" s="17">
        <v>2</v>
      </c>
      <c r="M20" s="17">
        <v>3</v>
      </c>
      <c r="N20" s="17">
        <v>4</v>
      </c>
      <c r="O20" s="18" t="s">
        <v>384</v>
      </c>
      <c r="Q20" s="14" t="s">
        <v>417</v>
      </c>
    </row>
    <row r="21" spans="1:17" x14ac:dyDescent="0.2">
      <c r="A21" s="26" t="s">
        <v>393</v>
      </c>
      <c r="B21" s="20">
        <v>0</v>
      </c>
      <c r="C21" s="20">
        <v>0</v>
      </c>
      <c r="D21" s="20">
        <v>0.14285714285714285</v>
      </c>
      <c r="E21" s="20">
        <v>0.14285714285714285</v>
      </c>
      <c r="F21" s="20">
        <v>0.22222222222222221</v>
      </c>
      <c r="G21" s="20">
        <v>0.22222222222222221</v>
      </c>
      <c r="I21" s="26" t="s">
        <v>393</v>
      </c>
      <c r="J21" s="20">
        <v>0</v>
      </c>
      <c r="K21" s="20">
        <v>0</v>
      </c>
      <c r="L21" s="20">
        <v>9.0909090909090912E-2</v>
      </c>
      <c r="M21" s="20">
        <v>0.22222222222222221</v>
      </c>
      <c r="N21" s="20">
        <v>0.22222222222222221</v>
      </c>
      <c r="O21" s="20">
        <v>0.22222222222222221</v>
      </c>
      <c r="Q21" s="14" t="s">
        <v>418</v>
      </c>
    </row>
    <row r="22" spans="1:17" x14ac:dyDescent="0.2">
      <c r="A22" s="27" t="s">
        <v>394</v>
      </c>
      <c r="B22" s="20">
        <v>0</v>
      </c>
      <c r="C22" s="20">
        <v>0</v>
      </c>
      <c r="D22" s="20">
        <v>9.5238095238095233E-2</v>
      </c>
      <c r="E22" s="20">
        <v>9.5238095238095233E-2</v>
      </c>
      <c r="F22" s="20">
        <v>0.33333333333333331</v>
      </c>
      <c r="G22" s="20">
        <v>0.33333333333333331</v>
      </c>
      <c r="I22" s="27" t="s">
        <v>394</v>
      </c>
      <c r="J22" s="20">
        <v>0</v>
      </c>
      <c r="K22" s="20">
        <v>0</v>
      </c>
      <c r="L22" s="20">
        <v>0</v>
      </c>
      <c r="M22" s="20">
        <v>0.33333333333333331</v>
      </c>
      <c r="N22" s="20">
        <v>0.33333333333333331</v>
      </c>
      <c r="O22" s="20">
        <v>0.33333333333333331</v>
      </c>
      <c r="Q22" s="14" t="s">
        <v>419</v>
      </c>
    </row>
    <row r="23" spans="1:17" x14ac:dyDescent="0.2">
      <c r="A23" s="27" t="s">
        <v>395</v>
      </c>
      <c r="B23" s="20">
        <v>0</v>
      </c>
      <c r="C23" s="20">
        <v>0</v>
      </c>
      <c r="D23" s="20">
        <v>2.3809523809523808E-2</v>
      </c>
      <c r="E23" s="20">
        <v>2.3809523809523808E-2</v>
      </c>
      <c r="F23" s="20">
        <v>0.1111111111111111</v>
      </c>
      <c r="G23" s="20">
        <v>0.1111111111111111</v>
      </c>
      <c r="I23" s="27" t="s">
        <v>395</v>
      </c>
      <c r="J23" s="20">
        <v>0</v>
      </c>
      <c r="K23" s="20">
        <v>0</v>
      </c>
      <c r="L23" s="20">
        <v>0.18181818181818182</v>
      </c>
      <c r="M23" s="20">
        <v>0.1111111111111111</v>
      </c>
      <c r="N23" s="20">
        <v>0.1111111111111111</v>
      </c>
      <c r="O23" s="20">
        <v>0.1111111111111111</v>
      </c>
      <c r="Q23" s="14" t="s">
        <v>420</v>
      </c>
    </row>
    <row r="24" spans="1:17" x14ac:dyDescent="0.2">
      <c r="A24" s="27" t="s">
        <v>396</v>
      </c>
      <c r="B24" s="20">
        <v>0</v>
      </c>
      <c r="C24" s="20">
        <v>0</v>
      </c>
      <c r="D24" s="20">
        <v>7.1428571428571425E-2</v>
      </c>
      <c r="E24" s="20">
        <v>7.1428571428571425E-2</v>
      </c>
      <c r="F24" s="20">
        <v>0.33333333333333331</v>
      </c>
      <c r="G24" s="20">
        <v>0.33333333333333331</v>
      </c>
      <c r="I24" s="27" t="s">
        <v>396</v>
      </c>
      <c r="J24" s="20">
        <v>0</v>
      </c>
      <c r="K24" s="20">
        <v>0</v>
      </c>
      <c r="L24" s="20">
        <v>0.27272727272727271</v>
      </c>
      <c r="M24" s="20">
        <v>0.33333333333333331</v>
      </c>
      <c r="N24" s="20">
        <v>0.33333333333333331</v>
      </c>
      <c r="O24" s="20">
        <v>0.33333333333333331</v>
      </c>
      <c r="Q24" s="14" t="s">
        <v>421</v>
      </c>
    </row>
    <row r="25" spans="1:17" x14ac:dyDescent="0.2">
      <c r="A25" s="27" t="s">
        <v>397</v>
      </c>
      <c r="B25" s="20">
        <v>0</v>
      </c>
      <c r="C25" s="20">
        <v>0</v>
      </c>
      <c r="D25" s="20">
        <v>2.3809523809523808E-2</v>
      </c>
      <c r="E25" s="20">
        <v>2.3809523809523808E-2</v>
      </c>
      <c r="F25" s="20">
        <v>0.22222222222222221</v>
      </c>
      <c r="G25" s="20">
        <v>0.22222222222222221</v>
      </c>
      <c r="I25" s="27" t="s">
        <v>397</v>
      </c>
      <c r="J25" s="20">
        <v>0</v>
      </c>
      <c r="K25" s="20">
        <v>0</v>
      </c>
      <c r="L25" s="20">
        <v>0</v>
      </c>
      <c r="M25" s="20">
        <v>0.22222222222222221</v>
      </c>
      <c r="N25" s="20">
        <v>0.22222222222222221</v>
      </c>
      <c r="O25" s="20">
        <v>0.22222222222222221</v>
      </c>
    </row>
    <row r="26" spans="1:17" x14ac:dyDescent="0.2">
      <c r="A26" s="26" t="s">
        <v>398</v>
      </c>
      <c r="B26" s="20">
        <v>0.25</v>
      </c>
      <c r="C26" s="20">
        <v>0.25</v>
      </c>
      <c r="D26" s="20">
        <v>0.5714285714285714</v>
      </c>
      <c r="E26" s="20">
        <v>0.5714285714285714</v>
      </c>
      <c r="F26" s="20">
        <v>0.77777777777777779</v>
      </c>
      <c r="G26" s="20">
        <v>0.77777777777777779</v>
      </c>
      <c r="I26" s="26" t="s">
        <v>398</v>
      </c>
      <c r="J26" s="20">
        <v>0.25</v>
      </c>
      <c r="K26" s="20">
        <v>0.25</v>
      </c>
      <c r="L26" s="20">
        <v>0.18181818181818182</v>
      </c>
      <c r="M26" s="20">
        <v>0.77777777777777779</v>
      </c>
      <c r="N26" s="20">
        <v>0.77777777777777779</v>
      </c>
      <c r="O26" s="20">
        <v>0.77777777777777779</v>
      </c>
    </row>
    <row r="27" spans="1:17" x14ac:dyDescent="0.2">
      <c r="A27" s="26" t="s">
        <v>399</v>
      </c>
      <c r="B27" s="20">
        <v>0.65</v>
      </c>
      <c r="C27" s="20">
        <v>0.65</v>
      </c>
      <c r="D27" s="20">
        <v>0.7142857142857143</v>
      </c>
      <c r="E27" s="20">
        <v>0.7142857142857143</v>
      </c>
      <c r="F27" s="20">
        <v>0.77777777777777779</v>
      </c>
      <c r="G27" s="20">
        <v>0.77777777777777779</v>
      </c>
      <c r="I27" s="26" t="s">
        <v>399</v>
      </c>
      <c r="J27" s="20">
        <v>0.65</v>
      </c>
      <c r="K27" s="20">
        <v>0.65</v>
      </c>
      <c r="L27" s="20">
        <v>0.90909090909090906</v>
      </c>
      <c r="M27" s="20">
        <v>0.77777777777777779</v>
      </c>
      <c r="N27" s="20">
        <v>0.77777777777777779</v>
      </c>
      <c r="O27" s="20">
        <v>0.77777777777777779</v>
      </c>
    </row>
    <row r="28" spans="1:17" x14ac:dyDescent="0.2">
      <c r="A28" s="26" t="s">
        <v>400</v>
      </c>
      <c r="B28" s="20">
        <v>0.25</v>
      </c>
      <c r="C28" s="20">
        <v>0.25</v>
      </c>
      <c r="D28" s="20">
        <v>0.21428571428571427</v>
      </c>
      <c r="E28" s="20">
        <v>0.21428571428571427</v>
      </c>
      <c r="F28" s="20">
        <v>0.77777777777777779</v>
      </c>
      <c r="G28" s="20">
        <v>0.77777777777777779</v>
      </c>
      <c r="I28" s="26" t="s">
        <v>400</v>
      </c>
      <c r="J28" s="20">
        <v>0.25</v>
      </c>
      <c r="K28" s="20">
        <v>0.25</v>
      </c>
      <c r="L28" s="20">
        <v>0.45454545454545453</v>
      </c>
      <c r="M28" s="20">
        <v>0.77777777777777779</v>
      </c>
      <c r="N28" s="20">
        <v>0.77777777777777779</v>
      </c>
      <c r="O28" s="20">
        <v>0.77777777777777779</v>
      </c>
    </row>
    <row r="29" spans="1:17" x14ac:dyDescent="0.2">
      <c r="A29" s="26" t="s">
        <v>401</v>
      </c>
      <c r="B29" s="20">
        <v>0</v>
      </c>
      <c r="C29" s="20">
        <v>0</v>
      </c>
      <c r="D29" s="20">
        <v>2.3809523809523808E-2</v>
      </c>
      <c r="E29" s="20">
        <v>2.3809523809523808E-2</v>
      </c>
      <c r="F29" s="20">
        <v>0.1111111111111111</v>
      </c>
      <c r="G29" s="20">
        <v>0.1111111111111111</v>
      </c>
      <c r="I29" s="26" t="s">
        <v>401</v>
      </c>
      <c r="J29" s="20">
        <v>0</v>
      </c>
      <c r="K29" s="20">
        <v>0</v>
      </c>
      <c r="L29" s="20">
        <v>0.18181818181818182</v>
      </c>
      <c r="M29" s="20">
        <v>0.1111111111111111</v>
      </c>
      <c r="N29" s="20">
        <v>0.1111111111111111</v>
      </c>
      <c r="O29" s="20">
        <v>0.1111111111111111</v>
      </c>
    </row>
    <row r="30" spans="1:17" x14ac:dyDescent="0.2">
      <c r="A30" s="28" t="s">
        <v>269</v>
      </c>
      <c r="B30" s="20">
        <v>0</v>
      </c>
      <c r="C30" s="20">
        <v>0</v>
      </c>
      <c r="D30" s="20">
        <v>0</v>
      </c>
      <c r="E30" s="20">
        <v>0</v>
      </c>
      <c r="F30" s="20">
        <v>0</v>
      </c>
      <c r="G30" s="20">
        <v>0</v>
      </c>
      <c r="I30" s="28" t="s">
        <v>269</v>
      </c>
      <c r="J30" s="20">
        <v>0</v>
      </c>
      <c r="K30" s="20">
        <v>0</v>
      </c>
      <c r="L30" s="20">
        <v>0</v>
      </c>
      <c r="M30" s="20">
        <v>0</v>
      </c>
      <c r="N30" s="20">
        <v>0</v>
      </c>
      <c r="O30" s="20">
        <v>0</v>
      </c>
    </row>
    <row r="31" spans="1:17" x14ac:dyDescent="0.2">
      <c r="A31" s="29" t="s">
        <v>120</v>
      </c>
      <c r="B31" s="30">
        <v>1.1499999999999999</v>
      </c>
      <c r="C31" s="30">
        <v>1.1499999999999999</v>
      </c>
      <c r="D31" s="30">
        <v>1.8809523809523807</v>
      </c>
      <c r="E31" s="30">
        <v>1.8809523809523807</v>
      </c>
      <c r="F31" s="23">
        <v>3.6666666666666665</v>
      </c>
      <c r="G31" s="23">
        <v>3.6666666666666665</v>
      </c>
      <c r="I31" s="29" t="s">
        <v>120</v>
      </c>
      <c r="J31" s="30">
        <v>1.1499999999999999</v>
      </c>
      <c r="K31" s="30">
        <v>1.1499999999999999</v>
      </c>
      <c r="L31" s="23">
        <v>2.2727272727272725</v>
      </c>
      <c r="M31" s="23">
        <v>3.6666666666666665</v>
      </c>
      <c r="N31" s="23">
        <v>3.6666666666666665</v>
      </c>
      <c r="O31" s="23">
        <v>3.6666666666666665</v>
      </c>
    </row>
    <row r="33" spans="1:26" x14ac:dyDescent="0.2">
      <c r="A33" s="15" t="s">
        <v>422</v>
      </c>
      <c r="B33" s="16"/>
      <c r="C33" s="16"/>
      <c r="D33" s="16"/>
      <c r="E33" s="16"/>
      <c r="F33" s="16"/>
      <c r="G33" s="16"/>
      <c r="H33" s="16"/>
      <c r="I33" s="25" t="s">
        <v>423</v>
      </c>
      <c r="J33" s="16"/>
      <c r="K33" s="16"/>
      <c r="L33" s="16"/>
      <c r="M33" s="16"/>
      <c r="N33" s="16"/>
      <c r="O33" s="16"/>
      <c r="Q33" s="15" t="s">
        <v>424</v>
      </c>
    </row>
    <row r="34" spans="1:26" x14ac:dyDescent="0.2">
      <c r="A34" s="438" t="s">
        <v>257</v>
      </c>
      <c r="B34" s="435" t="s">
        <v>383</v>
      </c>
      <c r="C34" s="436"/>
      <c r="D34" s="436"/>
      <c r="E34" s="436"/>
      <c r="F34" s="436"/>
      <c r="G34" s="437"/>
      <c r="I34" s="438" t="s">
        <v>257</v>
      </c>
      <c r="J34" s="435" t="s">
        <v>383</v>
      </c>
      <c r="K34" s="436"/>
      <c r="L34" s="436"/>
      <c r="M34" s="436"/>
      <c r="N34" s="436"/>
      <c r="O34" s="437"/>
      <c r="Q34" s="14" t="s">
        <v>411</v>
      </c>
    </row>
    <row r="35" spans="1:26" x14ac:dyDescent="0.2">
      <c r="A35" s="439"/>
      <c r="B35" s="17">
        <v>0</v>
      </c>
      <c r="C35" s="29">
        <v>1</v>
      </c>
      <c r="D35" s="17">
        <v>2</v>
      </c>
      <c r="E35" s="17">
        <v>3</v>
      </c>
      <c r="F35" s="17">
        <v>4</v>
      </c>
      <c r="G35" s="18" t="s">
        <v>384</v>
      </c>
      <c r="I35" s="439"/>
      <c r="J35" s="17">
        <v>0</v>
      </c>
      <c r="K35" s="17">
        <v>1</v>
      </c>
      <c r="L35" s="17">
        <v>2</v>
      </c>
      <c r="M35" s="29">
        <v>3</v>
      </c>
      <c r="N35" s="29">
        <v>4</v>
      </c>
      <c r="O35" s="54" t="s">
        <v>384</v>
      </c>
      <c r="Q35" s="14" t="s">
        <v>417</v>
      </c>
    </row>
    <row r="36" spans="1:26" x14ac:dyDescent="0.2">
      <c r="A36" s="26" t="s">
        <v>393</v>
      </c>
      <c r="B36" s="20">
        <v>8.8888888888888892E-2</v>
      </c>
      <c r="C36" s="20">
        <v>8.8888888888888892E-2</v>
      </c>
      <c r="D36" s="20">
        <v>0.21621621621621623</v>
      </c>
      <c r="E36" s="20">
        <v>0.21621621621621623</v>
      </c>
      <c r="F36" s="20">
        <v>0.15</v>
      </c>
      <c r="G36" s="20">
        <v>0.15</v>
      </c>
      <c r="I36" s="26" t="s">
        <v>393</v>
      </c>
      <c r="J36" s="20">
        <v>8.8888888888888892E-2</v>
      </c>
      <c r="K36" s="20">
        <v>8.8888888888888892E-2</v>
      </c>
      <c r="L36" s="20">
        <v>0.21621621621621623</v>
      </c>
      <c r="M36" s="20">
        <v>0.15</v>
      </c>
      <c r="N36" s="20">
        <v>0</v>
      </c>
      <c r="O36" s="20">
        <v>0</v>
      </c>
      <c r="Q36" s="14" t="s">
        <v>418</v>
      </c>
    </row>
    <row r="37" spans="1:26" x14ac:dyDescent="0.2">
      <c r="A37" s="27" t="s">
        <v>394</v>
      </c>
      <c r="B37" s="20">
        <v>0</v>
      </c>
      <c r="C37" s="20">
        <v>0</v>
      </c>
      <c r="D37" s="20">
        <v>0.10810810810810811</v>
      </c>
      <c r="E37" s="20">
        <v>0.10810810810810811</v>
      </c>
      <c r="F37" s="20">
        <v>0.32500000000000001</v>
      </c>
      <c r="G37" s="20">
        <v>0.32500000000000001</v>
      </c>
      <c r="I37" s="27" t="s">
        <v>394</v>
      </c>
      <c r="J37" s="20">
        <v>0</v>
      </c>
      <c r="K37" s="20">
        <v>0</v>
      </c>
      <c r="L37" s="20">
        <v>0.10810810810810811</v>
      </c>
      <c r="M37" s="20">
        <v>0.32500000000000001</v>
      </c>
      <c r="N37" s="20">
        <v>0</v>
      </c>
      <c r="O37" s="20">
        <v>0</v>
      </c>
      <c r="Q37" s="14" t="s">
        <v>419</v>
      </c>
    </row>
    <row r="38" spans="1:26" x14ac:dyDescent="0.2">
      <c r="A38" s="27" t="s">
        <v>395</v>
      </c>
      <c r="B38" s="20">
        <v>0</v>
      </c>
      <c r="C38" s="20">
        <v>0</v>
      </c>
      <c r="D38" s="20">
        <v>0.1891891891891892</v>
      </c>
      <c r="E38" s="20">
        <v>0.1891891891891892</v>
      </c>
      <c r="F38" s="20">
        <v>1.0249999999999999</v>
      </c>
      <c r="G38" s="20">
        <v>1.0249999999999999</v>
      </c>
      <c r="I38" s="27" t="s">
        <v>395</v>
      </c>
      <c r="J38" s="20">
        <v>0</v>
      </c>
      <c r="K38" s="20">
        <v>0</v>
      </c>
      <c r="L38" s="20">
        <v>0.1891891891891892</v>
      </c>
      <c r="M38" s="20">
        <v>1.0249999999999999</v>
      </c>
      <c r="N38" s="20">
        <v>0.6470588235294118</v>
      </c>
      <c r="O38" s="20">
        <v>0.6470588235294118</v>
      </c>
      <c r="Q38" s="14" t="s">
        <v>420</v>
      </c>
    </row>
    <row r="39" spans="1:26" x14ac:dyDescent="0.2">
      <c r="A39" s="27" t="s">
        <v>396</v>
      </c>
      <c r="B39" s="20">
        <v>0</v>
      </c>
      <c r="C39" s="20">
        <v>0</v>
      </c>
      <c r="D39" s="20">
        <v>8.1081081081081086E-2</v>
      </c>
      <c r="E39" s="20">
        <v>8.1081081081081086E-2</v>
      </c>
      <c r="F39" s="20">
        <v>0.6</v>
      </c>
      <c r="G39" s="20">
        <v>0.6</v>
      </c>
      <c r="I39" s="27" t="s">
        <v>396</v>
      </c>
      <c r="J39" s="20">
        <v>0</v>
      </c>
      <c r="K39" s="20">
        <v>0</v>
      </c>
      <c r="L39" s="20">
        <v>8.1081081081081086E-2</v>
      </c>
      <c r="M39" s="20">
        <v>0.6</v>
      </c>
      <c r="N39" s="20">
        <v>0.35294117647058826</v>
      </c>
      <c r="O39" s="20">
        <v>0.35294117647058826</v>
      </c>
      <c r="Q39" s="14" t="s">
        <v>425</v>
      </c>
    </row>
    <row r="40" spans="1:26" x14ac:dyDescent="0.2">
      <c r="A40" s="27" t="s">
        <v>397</v>
      </c>
      <c r="B40" s="20">
        <v>2.2222222222222223E-2</v>
      </c>
      <c r="C40" s="20">
        <v>2.2222222222222223E-2</v>
      </c>
      <c r="D40" s="20">
        <v>0.21621621621621623</v>
      </c>
      <c r="E40" s="20">
        <v>0.21621621621621623</v>
      </c>
      <c r="F40" s="20">
        <v>0.25</v>
      </c>
      <c r="G40" s="20">
        <v>0.25</v>
      </c>
      <c r="I40" s="27" t="s">
        <v>397</v>
      </c>
      <c r="J40" s="20">
        <v>2.2222222222222223E-2</v>
      </c>
      <c r="K40" s="20">
        <v>2.2222222222222223E-2</v>
      </c>
      <c r="L40" s="20">
        <v>0.21621621621621623</v>
      </c>
      <c r="M40" s="20">
        <v>0.25</v>
      </c>
      <c r="N40" s="20">
        <v>0.47058823529411764</v>
      </c>
      <c r="O40" s="20">
        <v>0.47058823529411764</v>
      </c>
      <c r="Q40" s="14" t="s">
        <v>426</v>
      </c>
    </row>
    <row r="41" spans="1:26" x14ac:dyDescent="0.2">
      <c r="A41" s="26" t="s">
        <v>398</v>
      </c>
      <c r="B41" s="20">
        <v>0.35555555555555557</v>
      </c>
      <c r="C41" s="20">
        <v>0.35555555555555557</v>
      </c>
      <c r="D41" s="20">
        <v>0.81081081081081086</v>
      </c>
      <c r="E41" s="20">
        <v>0.81081081081081086</v>
      </c>
      <c r="F41" s="20">
        <v>0.375</v>
      </c>
      <c r="G41" s="20">
        <v>0.375</v>
      </c>
      <c r="I41" s="26" t="s">
        <v>398</v>
      </c>
      <c r="J41" s="20">
        <v>0.35555555555555557</v>
      </c>
      <c r="K41" s="20">
        <v>0.35555555555555557</v>
      </c>
      <c r="L41" s="20">
        <v>0.81081081081081086</v>
      </c>
      <c r="M41" s="20">
        <v>0.375</v>
      </c>
      <c r="N41" s="20">
        <v>0.76470588235294112</v>
      </c>
      <c r="O41" s="20">
        <v>0.76470588235294112</v>
      </c>
    </row>
    <row r="42" spans="1:26" x14ac:dyDescent="0.2">
      <c r="A42" s="26" t="s">
        <v>399</v>
      </c>
      <c r="B42" s="20">
        <v>0.35555555555555557</v>
      </c>
      <c r="C42" s="20">
        <v>0.35555555555555557</v>
      </c>
      <c r="D42" s="20">
        <v>0.51351351351351349</v>
      </c>
      <c r="E42" s="20">
        <v>0.51351351351351349</v>
      </c>
      <c r="F42" s="20">
        <v>0.6</v>
      </c>
      <c r="G42" s="20">
        <v>0.6</v>
      </c>
      <c r="I42" s="26" t="s">
        <v>399</v>
      </c>
      <c r="J42" s="20">
        <v>0.35555555555555557</v>
      </c>
      <c r="K42" s="20">
        <v>0.35555555555555557</v>
      </c>
      <c r="L42" s="20">
        <v>0.51351351351351349</v>
      </c>
      <c r="M42" s="20">
        <v>0.6</v>
      </c>
      <c r="N42" s="20">
        <v>0.70588235294117652</v>
      </c>
      <c r="O42" s="20">
        <v>0.70588235294117652</v>
      </c>
    </row>
    <row r="43" spans="1:26" x14ac:dyDescent="0.2">
      <c r="A43" s="26" t="s">
        <v>400</v>
      </c>
      <c r="B43" s="20">
        <v>0.31111111111111112</v>
      </c>
      <c r="C43" s="20">
        <v>0.31111111111111112</v>
      </c>
      <c r="D43" s="20">
        <v>0.21621621621621623</v>
      </c>
      <c r="E43" s="20">
        <v>0.21621621621621623</v>
      </c>
      <c r="F43" s="20">
        <v>0.67500000000000004</v>
      </c>
      <c r="G43" s="20">
        <v>0.67500000000000004</v>
      </c>
      <c r="I43" s="26" t="s">
        <v>400</v>
      </c>
      <c r="J43" s="20">
        <v>0.31111111111111112</v>
      </c>
      <c r="K43" s="20">
        <v>0.31111111111111112</v>
      </c>
      <c r="L43" s="20">
        <v>0.21621621621621623</v>
      </c>
      <c r="M43" s="20">
        <v>0.67500000000000004</v>
      </c>
      <c r="N43" s="20">
        <v>1.0588235294117647</v>
      </c>
      <c r="O43" s="20">
        <v>1.0588235294117647</v>
      </c>
    </row>
    <row r="44" spans="1:26" x14ac:dyDescent="0.2">
      <c r="A44" s="26" t="s">
        <v>401</v>
      </c>
      <c r="B44" s="20">
        <v>0.24444444444444444</v>
      </c>
      <c r="C44" s="20">
        <v>0.24444444444444444</v>
      </c>
      <c r="D44" s="20">
        <v>2.7027027027027029E-2</v>
      </c>
      <c r="E44" s="20">
        <v>2.7027027027027029E-2</v>
      </c>
      <c r="F44" s="20">
        <v>7.4999999999999997E-2</v>
      </c>
      <c r="G44" s="20">
        <v>7.4999999999999997E-2</v>
      </c>
      <c r="I44" s="26" t="s">
        <v>401</v>
      </c>
      <c r="J44" s="20">
        <v>0.24444444444444444</v>
      </c>
      <c r="K44" s="20">
        <v>0.24444444444444444</v>
      </c>
      <c r="L44" s="20">
        <v>2.7027027027027029E-2</v>
      </c>
      <c r="M44" s="20">
        <v>7.4999999999999997E-2</v>
      </c>
      <c r="N44" s="20">
        <v>5.8823529411764705E-2</v>
      </c>
      <c r="O44" s="20">
        <v>5.8823529411764705E-2</v>
      </c>
    </row>
    <row r="45" spans="1:26" x14ac:dyDescent="0.2">
      <c r="A45" s="28" t="s">
        <v>269</v>
      </c>
      <c r="B45" s="20">
        <v>0</v>
      </c>
      <c r="C45" s="20">
        <v>0</v>
      </c>
      <c r="D45" s="20">
        <v>0</v>
      </c>
      <c r="E45" s="20">
        <v>0</v>
      </c>
      <c r="F45" s="20">
        <v>0</v>
      </c>
      <c r="G45" s="20">
        <v>0</v>
      </c>
      <c r="I45" s="28" t="s">
        <v>269</v>
      </c>
      <c r="J45" s="20">
        <v>0</v>
      </c>
      <c r="K45" s="20">
        <v>0</v>
      </c>
      <c r="L45" s="20">
        <v>0</v>
      </c>
      <c r="M45" s="20">
        <v>0</v>
      </c>
      <c r="N45" s="20">
        <v>0</v>
      </c>
      <c r="O45" s="20">
        <v>0</v>
      </c>
    </row>
    <row r="46" spans="1:26" x14ac:dyDescent="0.2">
      <c r="A46" s="29" t="s">
        <v>120</v>
      </c>
      <c r="B46" s="30">
        <v>1.3777777777777778</v>
      </c>
      <c r="C46" s="30">
        <v>1.3777777777777778</v>
      </c>
      <c r="D46" s="30">
        <v>2.378378378378379</v>
      </c>
      <c r="E46" s="30">
        <v>2.378378378378379</v>
      </c>
      <c r="F46" s="30">
        <v>4.0750000000000002</v>
      </c>
      <c r="G46" s="30">
        <v>4.0750000000000002</v>
      </c>
      <c r="I46" s="29" t="s">
        <v>120</v>
      </c>
      <c r="J46" s="30">
        <v>1.3777777777777778</v>
      </c>
      <c r="K46" s="30">
        <v>1.3777777777777778</v>
      </c>
      <c r="L46" s="30">
        <v>2.378378378378379</v>
      </c>
      <c r="M46" s="30">
        <v>4.0750000000000002</v>
      </c>
      <c r="N46" s="30">
        <v>4.0588235294117645</v>
      </c>
      <c r="O46" s="30">
        <v>4.0588235294117645</v>
      </c>
    </row>
    <row r="48" spans="1:26" x14ac:dyDescent="0.2">
      <c r="A48" s="434" t="s">
        <v>427</v>
      </c>
      <c r="B48" s="434"/>
      <c r="C48" s="434"/>
      <c r="D48" s="434"/>
      <c r="E48" s="434"/>
      <c r="F48" s="434"/>
      <c r="G48" s="434"/>
      <c r="H48" s="434"/>
      <c r="I48" s="434"/>
      <c r="J48" s="434"/>
      <c r="K48" s="434"/>
      <c r="L48" s="434"/>
      <c r="M48" s="434"/>
      <c r="N48" s="434"/>
      <c r="O48" s="434"/>
      <c r="P48" s="434"/>
      <c r="Q48" s="434"/>
      <c r="R48" s="434"/>
      <c r="S48" s="434"/>
      <c r="T48" s="434"/>
      <c r="U48" s="434"/>
      <c r="V48" s="434"/>
      <c r="W48" s="434"/>
      <c r="X48" s="434"/>
      <c r="Y48" s="434"/>
      <c r="Z48" s="434"/>
    </row>
    <row r="49" spans="1:26" x14ac:dyDescent="0.2">
      <c r="A49" s="440" t="s">
        <v>428</v>
      </c>
      <c r="B49" s="440"/>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row>
    <row r="50" spans="1:26" x14ac:dyDescent="0.2">
      <c r="A50" s="441" t="s">
        <v>429</v>
      </c>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row>
    <row r="51" spans="1:26" x14ac:dyDescent="0.2">
      <c r="A51" s="434" t="s">
        <v>430</v>
      </c>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row>
    <row r="52" spans="1:26" x14ac:dyDescent="0.2">
      <c r="A52" s="434" t="s">
        <v>431</v>
      </c>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row>
  </sheetData>
  <mergeCells count="17">
    <mergeCell ref="A52:Z52"/>
    <mergeCell ref="J19:O19"/>
    <mergeCell ref="A19:A20"/>
    <mergeCell ref="B19:G19"/>
    <mergeCell ref="I19:I20"/>
    <mergeCell ref="A34:A35"/>
    <mergeCell ref="B34:G34"/>
    <mergeCell ref="I34:I35"/>
    <mergeCell ref="J34:O34"/>
    <mergeCell ref="A48:Z48"/>
    <mergeCell ref="A49:Z49"/>
    <mergeCell ref="A50:Z50"/>
    <mergeCell ref="A4:A5"/>
    <mergeCell ref="B4:G4"/>
    <mergeCell ref="I4:I5"/>
    <mergeCell ref="J4:O4"/>
    <mergeCell ref="A51:Z51"/>
  </mergeCells>
  <pageMargins left="0.75" right="0.75" top="1" bottom="1" header="0.5" footer="0.5"/>
  <pageSetup paperSize="8" orientation="landscape" r:id="rId1"/>
  <headerFooter alignWithMargins="0">
    <oddHeader>&amp;L&amp;"Calibri"&amp;10&amp;K000000Official&amp;1#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Y52"/>
  <sheetViews>
    <sheetView workbookViewId="0"/>
  </sheetViews>
  <sheetFormatPr defaultColWidth="9.140625" defaultRowHeight="11.25" x14ac:dyDescent="0.2"/>
  <cols>
    <col min="1" max="1" width="6.42578125" style="14" customWidth="1"/>
    <col min="2" max="7" width="5.42578125" style="14" customWidth="1"/>
    <col min="8" max="8" width="2.85546875" style="14" customWidth="1"/>
    <col min="9" max="9" width="6" style="14" customWidth="1"/>
    <col min="10" max="15" width="5.42578125" style="14" customWidth="1"/>
    <col min="16" max="16" width="3" style="14" customWidth="1"/>
    <col min="17" max="16384" width="9.140625" style="14"/>
  </cols>
  <sheetData>
    <row r="1" spans="1:17" ht="12.75" x14ac:dyDescent="0.2">
      <c r="A1" s="13" t="s">
        <v>432</v>
      </c>
    </row>
    <row r="3" spans="1:17" x14ac:dyDescent="0.2">
      <c r="A3" s="15" t="s">
        <v>408</v>
      </c>
      <c r="I3" s="15" t="s">
        <v>409</v>
      </c>
      <c r="Q3" s="15" t="s">
        <v>410</v>
      </c>
    </row>
    <row r="4" spans="1:17" x14ac:dyDescent="0.2">
      <c r="A4" s="429" t="s">
        <v>257</v>
      </c>
      <c r="B4" s="432" t="s">
        <v>383</v>
      </c>
      <c r="C4" s="432"/>
      <c r="D4" s="432"/>
      <c r="E4" s="432"/>
      <c r="F4" s="432"/>
      <c r="G4" s="433"/>
      <c r="H4" s="16"/>
      <c r="I4" s="429" t="s">
        <v>257</v>
      </c>
      <c r="J4" s="431" t="s">
        <v>383</v>
      </c>
      <c r="K4" s="432"/>
      <c r="L4" s="432"/>
      <c r="M4" s="432"/>
      <c r="N4" s="432"/>
      <c r="O4" s="433"/>
      <c r="Q4" s="14" t="s">
        <v>433</v>
      </c>
    </row>
    <row r="5" spans="1:17" x14ac:dyDescent="0.2">
      <c r="A5" s="430"/>
      <c r="B5" s="17">
        <v>0</v>
      </c>
      <c r="C5" s="17">
        <v>1</v>
      </c>
      <c r="D5" s="17">
        <v>2</v>
      </c>
      <c r="E5" s="17">
        <v>3</v>
      </c>
      <c r="F5" s="17">
        <v>4</v>
      </c>
      <c r="G5" s="18" t="s">
        <v>384</v>
      </c>
      <c r="H5" s="16"/>
      <c r="I5" s="430"/>
      <c r="J5" s="17">
        <v>0</v>
      </c>
      <c r="K5" s="17">
        <v>1</v>
      </c>
      <c r="L5" s="17">
        <v>2</v>
      </c>
      <c r="M5" s="17">
        <v>3</v>
      </c>
      <c r="N5" s="17">
        <v>4</v>
      </c>
      <c r="O5" s="18" t="s">
        <v>384</v>
      </c>
      <c r="Q5" s="14" t="s">
        <v>434</v>
      </c>
    </row>
    <row r="6" spans="1:17" x14ac:dyDescent="0.2">
      <c r="A6" s="19" t="s">
        <v>393</v>
      </c>
      <c r="B6" s="20">
        <v>0.05</v>
      </c>
      <c r="C6" s="20">
        <v>1.9512195121951219E-2</v>
      </c>
      <c r="D6" s="20">
        <v>7.3065902578796568E-2</v>
      </c>
      <c r="E6" s="20">
        <v>0.14084507042253522</v>
      </c>
      <c r="F6" s="20">
        <v>0.14084507042253522</v>
      </c>
      <c r="G6" s="20">
        <v>0.21428571428571427</v>
      </c>
      <c r="H6" s="16"/>
      <c r="I6" s="19" t="s">
        <v>393</v>
      </c>
      <c r="J6" s="20">
        <v>0.05</v>
      </c>
      <c r="K6" s="20">
        <v>1.9512195121951219E-2</v>
      </c>
      <c r="L6" s="20">
        <v>3.3898305084745763E-2</v>
      </c>
      <c r="M6" s="20">
        <v>0.171875</v>
      </c>
      <c r="N6" s="20">
        <v>0.21428571428571427</v>
      </c>
      <c r="O6" s="20">
        <v>0.2</v>
      </c>
      <c r="Q6" s="14" t="s">
        <v>419</v>
      </c>
    </row>
    <row r="7" spans="1:17" x14ac:dyDescent="0.2">
      <c r="A7" s="21" t="s">
        <v>394</v>
      </c>
      <c r="B7" s="20">
        <v>0</v>
      </c>
      <c r="C7" s="20">
        <v>9.7560975609756097E-3</v>
      </c>
      <c r="D7" s="20">
        <v>2.2922636103151862E-2</v>
      </c>
      <c r="E7" s="20">
        <v>9.8591549295774641E-2</v>
      </c>
      <c r="F7" s="20">
        <v>9.8591549295774641E-2</v>
      </c>
      <c r="G7" s="20">
        <v>0.27142857142857141</v>
      </c>
      <c r="H7" s="16"/>
      <c r="I7" s="21" t="s">
        <v>394</v>
      </c>
      <c r="J7" s="20">
        <v>0</v>
      </c>
      <c r="K7" s="20">
        <v>9.7560975609756097E-3</v>
      </c>
      <c r="L7" s="20">
        <v>3.3898305084745763E-2</v>
      </c>
      <c r="M7" s="20">
        <v>0.1015625</v>
      </c>
      <c r="N7" s="20">
        <v>0.27142857142857141</v>
      </c>
      <c r="O7" s="20">
        <v>0.1</v>
      </c>
      <c r="Q7" s="14" t="s">
        <v>420</v>
      </c>
    </row>
    <row r="8" spans="1:17" x14ac:dyDescent="0.2">
      <c r="A8" s="21" t="s">
        <v>395</v>
      </c>
      <c r="B8" s="20">
        <v>0</v>
      </c>
      <c r="C8" s="20">
        <v>4.8780487804878049E-3</v>
      </c>
      <c r="D8" s="20">
        <v>1.8624641833810889E-2</v>
      </c>
      <c r="E8" s="20">
        <v>0.16901408450704225</v>
      </c>
      <c r="F8" s="20">
        <v>0.16901408450704225</v>
      </c>
      <c r="G8" s="20">
        <v>0.38571428571428573</v>
      </c>
      <c r="H8" s="16"/>
      <c r="I8" s="21" t="s">
        <v>395</v>
      </c>
      <c r="J8" s="20">
        <v>0</v>
      </c>
      <c r="K8" s="20">
        <v>4.8780487804878049E-3</v>
      </c>
      <c r="L8" s="20">
        <v>0</v>
      </c>
      <c r="M8" s="20">
        <v>0.140625</v>
      </c>
      <c r="N8" s="20">
        <v>0.38571428571428573</v>
      </c>
      <c r="O8" s="20">
        <v>0.5</v>
      </c>
    </row>
    <row r="9" spans="1:17" x14ac:dyDescent="0.2">
      <c r="A9" s="21" t="s">
        <v>396</v>
      </c>
      <c r="B9" s="20">
        <v>0</v>
      </c>
      <c r="C9" s="20">
        <v>0</v>
      </c>
      <c r="D9" s="20">
        <v>1.0028653295128941E-2</v>
      </c>
      <c r="E9" s="20">
        <v>5.6338028169014086E-2</v>
      </c>
      <c r="F9" s="20">
        <v>5.6338028169014086E-2</v>
      </c>
      <c r="G9" s="20">
        <v>0.12857142857142856</v>
      </c>
      <c r="H9" s="16"/>
      <c r="I9" s="21" t="s">
        <v>396</v>
      </c>
      <c r="J9" s="20">
        <v>0</v>
      </c>
      <c r="K9" s="20">
        <v>0</v>
      </c>
      <c r="L9" s="20">
        <v>3.3898305084745763E-2</v>
      </c>
      <c r="M9" s="20">
        <v>7.8125E-2</v>
      </c>
      <c r="N9" s="20">
        <v>0.12857142857142856</v>
      </c>
      <c r="O9" s="20">
        <v>0.4</v>
      </c>
    </row>
    <row r="10" spans="1:17" x14ac:dyDescent="0.2">
      <c r="A10" s="21" t="s">
        <v>397</v>
      </c>
      <c r="B10" s="20">
        <v>0</v>
      </c>
      <c r="C10" s="20">
        <v>0</v>
      </c>
      <c r="D10" s="20">
        <v>8.5959885386819486E-3</v>
      </c>
      <c r="E10" s="20">
        <v>2.8169014084507043E-2</v>
      </c>
      <c r="F10" s="20">
        <v>2.8169014084507043E-2</v>
      </c>
      <c r="G10" s="20">
        <v>5.7142857142857141E-2</v>
      </c>
      <c r="H10" s="16"/>
      <c r="I10" s="21" t="s">
        <v>397</v>
      </c>
      <c r="J10" s="20">
        <v>0</v>
      </c>
      <c r="K10" s="20">
        <v>0</v>
      </c>
      <c r="L10" s="20">
        <v>1.6949152542372881E-2</v>
      </c>
      <c r="M10" s="20">
        <v>4.6875E-2</v>
      </c>
      <c r="N10" s="20">
        <v>5.7142857142857141E-2</v>
      </c>
      <c r="O10" s="20">
        <v>0.1</v>
      </c>
    </row>
    <row r="11" spans="1:17" x14ac:dyDescent="0.2">
      <c r="A11" s="19" t="s">
        <v>398</v>
      </c>
      <c r="B11" s="20">
        <v>0.6</v>
      </c>
      <c r="C11" s="20">
        <v>0.57560975609756093</v>
      </c>
      <c r="D11" s="20">
        <v>0.50716332378223494</v>
      </c>
      <c r="E11" s="20">
        <v>0.29577464788732394</v>
      </c>
      <c r="F11" s="20">
        <v>0.29577464788732394</v>
      </c>
      <c r="G11" s="20">
        <v>0.12857142857142856</v>
      </c>
      <c r="H11" s="16"/>
      <c r="I11" s="19" t="s">
        <v>398</v>
      </c>
      <c r="J11" s="20">
        <v>0.6</v>
      </c>
      <c r="K11" s="20">
        <v>0.57560975609756093</v>
      </c>
      <c r="L11" s="20">
        <v>0.23728813559322035</v>
      </c>
      <c r="M11" s="20">
        <v>0.3203125</v>
      </c>
      <c r="N11" s="20">
        <v>0.12857142857142856</v>
      </c>
      <c r="O11" s="20">
        <v>0.15</v>
      </c>
    </row>
    <row r="12" spans="1:17" x14ac:dyDescent="0.2">
      <c r="A12" s="19" t="s">
        <v>399</v>
      </c>
      <c r="B12" s="20">
        <v>0.35</v>
      </c>
      <c r="C12" s="20">
        <v>0.53170731707317076</v>
      </c>
      <c r="D12" s="20">
        <v>0.61461318051575931</v>
      </c>
      <c r="E12" s="20">
        <v>0.52112676056338025</v>
      </c>
      <c r="F12" s="20">
        <v>0.52112676056338025</v>
      </c>
      <c r="G12" s="20">
        <v>0.6</v>
      </c>
      <c r="H12" s="16"/>
      <c r="I12" s="19" t="s">
        <v>399</v>
      </c>
      <c r="J12" s="20">
        <v>0.35</v>
      </c>
      <c r="K12" s="20">
        <v>0.53170731707317076</v>
      </c>
      <c r="L12" s="20">
        <v>0.71186440677966101</v>
      </c>
      <c r="M12" s="20">
        <v>0.8046875</v>
      </c>
      <c r="N12" s="20">
        <v>0.6</v>
      </c>
      <c r="O12" s="20">
        <v>0.5</v>
      </c>
    </row>
    <row r="13" spans="1:17" x14ac:dyDescent="0.2">
      <c r="A13" s="19" t="s">
        <v>400</v>
      </c>
      <c r="B13" s="20">
        <v>0.35</v>
      </c>
      <c r="C13" s="20">
        <v>0.23414634146341465</v>
      </c>
      <c r="D13" s="20">
        <v>0.32378223495702008</v>
      </c>
      <c r="E13" s="20">
        <v>0.74647887323943662</v>
      </c>
      <c r="F13" s="20">
        <v>0.74647887323943662</v>
      </c>
      <c r="G13" s="20">
        <v>0.91428571428571426</v>
      </c>
      <c r="H13" s="16"/>
      <c r="I13" s="19" t="s">
        <v>400</v>
      </c>
      <c r="J13" s="20">
        <v>0.35</v>
      </c>
      <c r="K13" s="20">
        <v>0.23414634146341465</v>
      </c>
      <c r="L13" s="20">
        <v>0.52542372881355937</v>
      </c>
      <c r="M13" s="20">
        <v>0.5859375</v>
      </c>
      <c r="N13" s="20">
        <v>0.91428571428571426</v>
      </c>
      <c r="O13" s="20">
        <v>1.1000000000000001</v>
      </c>
    </row>
    <row r="14" spans="1:17" x14ac:dyDescent="0.2">
      <c r="A14" s="19" t="s">
        <v>401</v>
      </c>
      <c r="B14" s="20">
        <v>0</v>
      </c>
      <c r="C14" s="20">
        <v>9.7560975609756101E-2</v>
      </c>
      <c r="D14" s="20">
        <v>0.15616045845272206</v>
      </c>
      <c r="E14" s="20">
        <v>0.23943661971830985</v>
      </c>
      <c r="F14" s="20">
        <v>0.23943661971830985</v>
      </c>
      <c r="G14" s="20">
        <v>0.25714285714285712</v>
      </c>
      <c r="H14" s="16"/>
      <c r="I14" s="19" t="s">
        <v>401</v>
      </c>
      <c r="J14" s="20">
        <v>0</v>
      </c>
      <c r="K14" s="20">
        <v>9.7560975609756101E-2</v>
      </c>
      <c r="L14" s="20">
        <v>0.15254237288135594</v>
      </c>
      <c r="M14" s="20">
        <v>0.21875</v>
      </c>
      <c r="N14" s="20">
        <v>0.25714285714285712</v>
      </c>
      <c r="O14" s="20">
        <v>0.15</v>
      </c>
    </row>
    <row r="15" spans="1:17" x14ac:dyDescent="0.2">
      <c r="A15" s="22" t="s">
        <v>269</v>
      </c>
      <c r="B15" s="20">
        <v>0</v>
      </c>
      <c r="C15" s="20">
        <v>4.8780487804878049E-3</v>
      </c>
      <c r="D15" s="20">
        <v>3.0085959885386818E-2</v>
      </c>
      <c r="E15" s="20">
        <v>4.2253521126760563E-2</v>
      </c>
      <c r="F15" s="20">
        <v>4.2253521126760563E-2</v>
      </c>
      <c r="G15" s="20">
        <v>0</v>
      </c>
      <c r="H15" s="16"/>
      <c r="I15" s="22" t="s">
        <v>269</v>
      </c>
      <c r="J15" s="20">
        <v>0</v>
      </c>
      <c r="K15" s="20">
        <v>4.8780487804878049E-3</v>
      </c>
      <c r="L15" s="20">
        <v>0</v>
      </c>
      <c r="M15" s="20">
        <v>1.5625E-2</v>
      </c>
      <c r="N15" s="20">
        <v>0</v>
      </c>
      <c r="O15" s="20">
        <v>0</v>
      </c>
    </row>
    <row r="16" spans="1:17" x14ac:dyDescent="0.2">
      <c r="A16" s="17" t="s">
        <v>120</v>
      </c>
      <c r="B16" s="23">
        <v>1.35</v>
      </c>
      <c r="C16" s="23">
        <v>1.4780487804878051</v>
      </c>
      <c r="D16" s="23">
        <v>1.7650429799426934</v>
      </c>
      <c r="E16" s="23">
        <v>2.3380281690140845</v>
      </c>
      <c r="F16" s="23">
        <v>2.3380281690140845</v>
      </c>
      <c r="G16" s="24">
        <v>2.9571428571428569</v>
      </c>
      <c r="H16" s="16"/>
      <c r="I16" s="17" t="s">
        <v>120</v>
      </c>
      <c r="J16" s="23">
        <v>1.35</v>
      </c>
      <c r="K16" s="23">
        <v>1.4780487804878051</v>
      </c>
      <c r="L16" s="24">
        <v>1.745762711864407</v>
      </c>
      <c r="M16" s="24">
        <v>2.484375</v>
      </c>
      <c r="N16" s="24">
        <v>2.9571428571428569</v>
      </c>
      <c r="O16" s="24">
        <v>3.2</v>
      </c>
    </row>
    <row r="18" spans="1:17" x14ac:dyDescent="0.2">
      <c r="A18" s="15" t="s">
        <v>414</v>
      </c>
      <c r="B18" s="16"/>
      <c r="C18" s="16"/>
      <c r="D18" s="16"/>
      <c r="E18" s="16"/>
      <c r="F18" s="16"/>
      <c r="G18" s="16"/>
      <c r="H18" s="16"/>
      <c r="I18" s="25" t="s">
        <v>415</v>
      </c>
      <c r="J18" s="16"/>
      <c r="K18" s="16"/>
      <c r="L18" s="16"/>
      <c r="M18" s="16"/>
      <c r="N18" s="16"/>
      <c r="O18" s="16"/>
      <c r="Q18" s="15" t="s">
        <v>416</v>
      </c>
    </row>
    <row r="19" spans="1:17" x14ac:dyDescent="0.2">
      <c r="A19" s="429" t="s">
        <v>257</v>
      </c>
      <c r="B19" s="431" t="s">
        <v>383</v>
      </c>
      <c r="C19" s="432"/>
      <c r="D19" s="432"/>
      <c r="E19" s="432"/>
      <c r="F19" s="432"/>
      <c r="G19" s="433"/>
      <c r="I19" s="438" t="s">
        <v>257</v>
      </c>
      <c r="J19" s="435" t="s">
        <v>383</v>
      </c>
      <c r="K19" s="436"/>
      <c r="L19" s="436"/>
      <c r="M19" s="436"/>
      <c r="N19" s="436"/>
      <c r="O19" s="437"/>
      <c r="Q19" s="14" t="s">
        <v>411</v>
      </c>
    </row>
    <row r="20" spans="1:17" x14ac:dyDescent="0.2">
      <c r="A20" s="430"/>
      <c r="B20" s="17">
        <v>0</v>
      </c>
      <c r="C20" s="17">
        <v>1</v>
      </c>
      <c r="D20" s="17">
        <v>2</v>
      </c>
      <c r="E20" s="17">
        <v>3</v>
      </c>
      <c r="F20" s="17">
        <v>4</v>
      </c>
      <c r="G20" s="18" t="s">
        <v>384</v>
      </c>
      <c r="I20" s="439"/>
      <c r="J20" s="17">
        <v>0</v>
      </c>
      <c r="K20" s="17">
        <v>1</v>
      </c>
      <c r="L20" s="17">
        <v>2</v>
      </c>
      <c r="M20" s="17">
        <v>3</v>
      </c>
      <c r="N20" s="17">
        <v>4</v>
      </c>
      <c r="O20" s="18" t="s">
        <v>384</v>
      </c>
      <c r="Q20" s="14" t="s">
        <v>417</v>
      </c>
    </row>
    <row r="21" spans="1:17" x14ac:dyDescent="0.2">
      <c r="A21" s="19" t="s">
        <v>393</v>
      </c>
      <c r="B21" s="20">
        <v>8.3333333333333329E-2</v>
      </c>
      <c r="C21" s="20">
        <v>8.3333333333333329E-2</v>
      </c>
      <c r="D21" s="20">
        <v>4.5454545454545456E-2</v>
      </c>
      <c r="E21" s="20">
        <v>4.5454545454545456E-2</v>
      </c>
      <c r="F21" s="20">
        <v>0.16666666666666666</v>
      </c>
      <c r="G21" s="20">
        <v>0.16666666666666666</v>
      </c>
      <c r="I21" s="26" t="s">
        <v>393</v>
      </c>
      <c r="J21" s="20">
        <v>8.3333333333333329E-2</v>
      </c>
      <c r="K21" s="20">
        <v>8.3333333333333329E-2</v>
      </c>
      <c r="L21" s="20">
        <v>0.4</v>
      </c>
      <c r="M21" s="20">
        <v>0.16666666666666666</v>
      </c>
      <c r="N21" s="20">
        <v>0.16666666666666666</v>
      </c>
      <c r="O21" s="20">
        <v>0.16666666666666666</v>
      </c>
      <c r="Q21" s="14" t="s">
        <v>418</v>
      </c>
    </row>
    <row r="22" spans="1:17" x14ac:dyDescent="0.2">
      <c r="A22" s="21" t="s">
        <v>394</v>
      </c>
      <c r="B22" s="20">
        <v>0</v>
      </c>
      <c r="C22" s="20">
        <v>0</v>
      </c>
      <c r="D22" s="20">
        <v>0.27272727272727271</v>
      </c>
      <c r="E22" s="20">
        <v>0.27272727272727271</v>
      </c>
      <c r="F22" s="20">
        <v>0.16666666666666666</v>
      </c>
      <c r="G22" s="20">
        <v>0.16666666666666666</v>
      </c>
      <c r="I22" s="27" t="s">
        <v>394</v>
      </c>
      <c r="J22" s="20">
        <v>0</v>
      </c>
      <c r="K22" s="20">
        <v>0</v>
      </c>
      <c r="L22" s="20">
        <v>0.2</v>
      </c>
      <c r="M22" s="20">
        <v>0.16666666666666666</v>
      </c>
      <c r="N22" s="20">
        <v>0.16666666666666666</v>
      </c>
      <c r="O22" s="20">
        <v>0.16666666666666666</v>
      </c>
      <c r="Q22" s="14" t="s">
        <v>419</v>
      </c>
    </row>
    <row r="23" spans="1:17" x14ac:dyDescent="0.2">
      <c r="A23" s="21" t="s">
        <v>395</v>
      </c>
      <c r="B23" s="20">
        <v>0</v>
      </c>
      <c r="C23" s="20">
        <v>0</v>
      </c>
      <c r="D23" s="20">
        <v>0.18181818181818182</v>
      </c>
      <c r="E23" s="20">
        <v>0.18181818181818182</v>
      </c>
      <c r="F23" s="20">
        <v>0.5</v>
      </c>
      <c r="G23" s="20">
        <v>0.5</v>
      </c>
      <c r="I23" s="27" t="s">
        <v>395</v>
      </c>
      <c r="J23" s="20">
        <v>0</v>
      </c>
      <c r="K23" s="20">
        <v>0</v>
      </c>
      <c r="L23" s="20">
        <v>0</v>
      </c>
      <c r="M23" s="20">
        <v>0.5</v>
      </c>
      <c r="N23" s="20">
        <v>0.5</v>
      </c>
      <c r="O23" s="20">
        <v>0.5</v>
      </c>
      <c r="Q23" s="14" t="s">
        <v>420</v>
      </c>
    </row>
    <row r="24" spans="1:17" x14ac:dyDescent="0.2">
      <c r="A24" s="21" t="s">
        <v>396</v>
      </c>
      <c r="B24" s="20">
        <v>0</v>
      </c>
      <c r="C24" s="20">
        <v>0</v>
      </c>
      <c r="D24" s="20">
        <v>0</v>
      </c>
      <c r="E24" s="20">
        <v>0</v>
      </c>
      <c r="F24" s="20">
        <v>0</v>
      </c>
      <c r="G24" s="20">
        <v>0</v>
      </c>
      <c r="I24" s="27" t="s">
        <v>396</v>
      </c>
      <c r="J24" s="20">
        <v>0</v>
      </c>
      <c r="K24" s="20">
        <v>0</v>
      </c>
      <c r="L24" s="20">
        <v>0</v>
      </c>
      <c r="M24" s="20">
        <v>0</v>
      </c>
      <c r="N24" s="20">
        <v>0</v>
      </c>
      <c r="O24" s="20">
        <v>0</v>
      </c>
      <c r="Q24" s="14" t="s">
        <v>421</v>
      </c>
    </row>
    <row r="25" spans="1:17" x14ac:dyDescent="0.2">
      <c r="A25" s="21" t="s">
        <v>397</v>
      </c>
      <c r="B25" s="20">
        <v>0</v>
      </c>
      <c r="C25" s="20">
        <v>0</v>
      </c>
      <c r="D25" s="20">
        <v>4.5454545454545456E-2</v>
      </c>
      <c r="E25" s="20">
        <v>4.5454545454545456E-2</v>
      </c>
      <c r="F25" s="20">
        <v>0.16666666666666666</v>
      </c>
      <c r="G25" s="20">
        <v>0.16666666666666666</v>
      </c>
      <c r="I25" s="27" t="s">
        <v>397</v>
      </c>
      <c r="J25" s="20">
        <v>0</v>
      </c>
      <c r="K25" s="20">
        <v>0</v>
      </c>
      <c r="L25" s="20">
        <v>0.2</v>
      </c>
      <c r="M25" s="20">
        <v>0.16666666666666666</v>
      </c>
      <c r="N25" s="20">
        <v>0.16666666666666666</v>
      </c>
      <c r="O25" s="20">
        <v>0.16666666666666666</v>
      </c>
    </row>
    <row r="26" spans="1:17" x14ac:dyDescent="0.2">
      <c r="A26" s="19" t="s">
        <v>398</v>
      </c>
      <c r="B26" s="20">
        <v>0.16666666666666666</v>
      </c>
      <c r="C26" s="20">
        <v>0.16666666666666666</v>
      </c>
      <c r="D26" s="20">
        <v>0.36363636363636365</v>
      </c>
      <c r="E26" s="20">
        <v>0.36363636363636365</v>
      </c>
      <c r="F26" s="20">
        <v>0.66666666666666663</v>
      </c>
      <c r="G26" s="20">
        <v>0.66666666666666663</v>
      </c>
      <c r="I26" s="26" t="s">
        <v>398</v>
      </c>
      <c r="J26" s="20">
        <v>0.16666666666666666</v>
      </c>
      <c r="K26" s="20">
        <v>0.16666666666666666</v>
      </c>
      <c r="L26" s="20">
        <v>0</v>
      </c>
      <c r="M26" s="20">
        <v>0.66666666666666663</v>
      </c>
      <c r="N26" s="20">
        <v>0.66666666666666663</v>
      </c>
      <c r="O26" s="20">
        <v>0.66666666666666663</v>
      </c>
    </row>
    <row r="27" spans="1:17" x14ac:dyDescent="0.2">
      <c r="A27" s="19" t="s">
        <v>399</v>
      </c>
      <c r="B27" s="20">
        <v>0.75</v>
      </c>
      <c r="C27" s="20">
        <v>0.75</v>
      </c>
      <c r="D27" s="20">
        <v>0.86363636363636365</v>
      </c>
      <c r="E27" s="20">
        <v>0.86363636363636365</v>
      </c>
      <c r="F27" s="20">
        <v>0.66666666666666663</v>
      </c>
      <c r="G27" s="20">
        <v>0.66666666666666663</v>
      </c>
      <c r="I27" s="26" t="s">
        <v>399</v>
      </c>
      <c r="J27" s="20">
        <v>0.75</v>
      </c>
      <c r="K27" s="20">
        <v>0.75</v>
      </c>
      <c r="L27" s="20">
        <v>0.4</v>
      </c>
      <c r="M27" s="20">
        <v>0.66666666666666663</v>
      </c>
      <c r="N27" s="20">
        <v>0.66666666666666663</v>
      </c>
      <c r="O27" s="20">
        <v>0.66666666666666663</v>
      </c>
    </row>
    <row r="28" spans="1:17" x14ac:dyDescent="0.2">
      <c r="A28" s="19" t="s">
        <v>400</v>
      </c>
      <c r="B28" s="20">
        <v>0.25</v>
      </c>
      <c r="C28" s="20">
        <v>0.25</v>
      </c>
      <c r="D28" s="20">
        <v>0.45454545454545453</v>
      </c>
      <c r="E28" s="20">
        <v>0.45454545454545453</v>
      </c>
      <c r="F28" s="20">
        <v>1</v>
      </c>
      <c r="G28" s="20">
        <v>1</v>
      </c>
      <c r="I28" s="26" t="s">
        <v>400</v>
      </c>
      <c r="J28" s="20">
        <v>0.25</v>
      </c>
      <c r="K28" s="20">
        <v>0.25</v>
      </c>
      <c r="L28" s="20">
        <v>1.2</v>
      </c>
      <c r="M28" s="20">
        <v>1</v>
      </c>
      <c r="N28" s="20">
        <v>1</v>
      </c>
      <c r="O28" s="20">
        <v>1</v>
      </c>
    </row>
    <row r="29" spans="1:17" x14ac:dyDescent="0.2">
      <c r="A29" s="19" t="s">
        <v>401</v>
      </c>
      <c r="B29" s="20">
        <v>8.3333333333333329E-2</v>
      </c>
      <c r="C29" s="20">
        <v>8.3333333333333329E-2</v>
      </c>
      <c r="D29" s="20">
        <v>9.0909090909090912E-2</v>
      </c>
      <c r="E29" s="20">
        <v>9.0909090909090912E-2</v>
      </c>
      <c r="F29" s="20">
        <v>0.16666666666666666</v>
      </c>
      <c r="G29" s="20">
        <v>0.16666666666666666</v>
      </c>
      <c r="I29" s="26" t="s">
        <v>401</v>
      </c>
      <c r="J29" s="20">
        <v>8.3333333333333329E-2</v>
      </c>
      <c r="K29" s="20">
        <v>8.3333333333333329E-2</v>
      </c>
      <c r="L29" s="20">
        <v>0</v>
      </c>
      <c r="M29" s="20">
        <v>0.16666666666666666</v>
      </c>
      <c r="N29" s="20">
        <v>0.16666666666666666</v>
      </c>
      <c r="O29" s="20">
        <v>0.16666666666666666</v>
      </c>
    </row>
    <row r="30" spans="1:17" x14ac:dyDescent="0.2">
      <c r="A30" s="22" t="s">
        <v>269</v>
      </c>
      <c r="B30" s="20">
        <v>0</v>
      </c>
      <c r="C30" s="20">
        <v>0</v>
      </c>
      <c r="D30" s="20">
        <v>0</v>
      </c>
      <c r="E30" s="20">
        <v>0</v>
      </c>
      <c r="F30" s="20">
        <v>0</v>
      </c>
      <c r="G30" s="20">
        <v>0</v>
      </c>
      <c r="I30" s="28" t="s">
        <v>269</v>
      </c>
      <c r="J30" s="20">
        <v>0</v>
      </c>
      <c r="K30" s="20">
        <v>0</v>
      </c>
      <c r="L30" s="20">
        <v>0</v>
      </c>
      <c r="M30" s="20">
        <v>0</v>
      </c>
      <c r="N30" s="20">
        <v>0</v>
      </c>
      <c r="O30" s="20">
        <v>0</v>
      </c>
    </row>
    <row r="31" spans="1:17" x14ac:dyDescent="0.2">
      <c r="A31" s="17" t="s">
        <v>120</v>
      </c>
      <c r="B31" s="23">
        <v>1.3333333333333333</v>
      </c>
      <c r="C31" s="23">
        <v>1.3333333333333333</v>
      </c>
      <c r="D31" s="23">
        <v>2.3181818181818179</v>
      </c>
      <c r="E31" s="23">
        <v>2.3181818181818179</v>
      </c>
      <c r="F31" s="23">
        <v>3.5</v>
      </c>
      <c r="G31" s="23">
        <v>3.5</v>
      </c>
      <c r="I31" s="29" t="s">
        <v>120</v>
      </c>
      <c r="J31" s="23">
        <v>1.3333333333333333</v>
      </c>
      <c r="K31" s="23">
        <v>1.3333333333333333</v>
      </c>
      <c r="L31" s="30">
        <v>2.4</v>
      </c>
      <c r="M31" s="30">
        <v>3.5</v>
      </c>
      <c r="N31" s="30">
        <v>3.5</v>
      </c>
      <c r="O31" s="30">
        <v>3.5</v>
      </c>
    </row>
    <row r="33" spans="1:25" x14ac:dyDescent="0.2">
      <c r="A33" s="15" t="s">
        <v>422</v>
      </c>
      <c r="B33" s="16"/>
      <c r="C33" s="16"/>
      <c r="D33" s="16"/>
      <c r="E33" s="16"/>
      <c r="F33" s="16"/>
      <c r="G33" s="16"/>
      <c r="H33" s="16"/>
      <c r="I33" s="25" t="s">
        <v>423</v>
      </c>
      <c r="J33" s="16"/>
      <c r="K33" s="16"/>
      <c r="L33" s="16"/>
      <c r="M33" s="16"/>
      <c r="N33" s="16"/>
      <c r="O33" s="16"/>
      <c r="Q33" s="15" t="s">
        <v>424</v>
      </c>
    </row>
    <row r="34" spans="1:25" x14ac:dyDescent="0.2">
      <c r="A34" s="429" t="s">
        <v>257</v>
      </c>
      <c r="B34" s="431" t="s">
        <v>383</v>
      </c>
      <c r="C34" s="432"/>
      <c r="D34" s="432"/>
      <c r="E34" s="432"/>
      <c r="F34" s="432"/>
      <c r="G34" s="433"/>
      <c r="I34" s="429" t="s">
        <v>257</v>
      </c>
      <c r="J34" s="432" t="s">
        <v>383</v>
      </c>
      <c r="K34" s="432"/>
      <c r="L34" s="432"/>
      <c r="M34" s="432"/>
      <c r="N34" s="432"/>
      <c r="O34" s="433"/>
      <c r="Q34" s="14" t="s">
        <v>411</v>
      </c>
    </row>
    <row r="35" spans="1:25" x14ac:dyDescent="0.2">
      <c r="A35" s="430"/>
      <c r="B35" s="17">
        <v>0</v>
      </c>
      <c r="C35" s="17">
        <v>1</v>
      </c>
      <c r="D35" s="17">
        <v>2</v>
      </c>
      <c r="E35" s="17">
        <v>3</v>
      </c>
      <c r="F35" s="17">
        <v>4</v>
      </c>
      <c r="G35" s="18" t="s">
        <v>384</v>
      </c>
      <c r="I35" s="430"/>
      <c r="J35" s="17">
        <v>0</v>
      </c>
      <c r="K35" s="17">
        <v>1</v>
      </c>
      <c r="L35" s="17">
        <v>2</v>
      </c>
      <c r="M35" s="17">
        <v>3</v>
      </c>
      <c r="N35" s="17">
        <v>4</v>
      </c>
      <c r="O35" s="18" t="s">
        <v>384</v>
      </c>
      <c r="Q35" s="14" t="s">
        <v>417</v>
      </c>
    </row>
    <row r="36" spans="1:25" x14ac:dyDescent="0.2">
      <c r="A36" s="19" t="s">
        <v>393</v>
      </c>
      <c r="B36" s="20">
        <v>0.08</v>
      </c>
      <c r="C36" s="20">
        <v>0.08</v>
      </c>
      <c r="D36" s="20">
        <v>0.19047619047619047</v>
      </c>
      <c r="E36" s="20">
        <v>0.19047619047619047</v>
      </c>
      <c r="F36" s="20">
        <v>8.8235294117647065E-2</v>
      </c>
      <c r="G36" s="20">
        <v>8.8235294117647065E-2</v>
      </c>
      <c r="I36" s="19" t="s">
        <v>393</v>
      </c>
      <c r="J36" s="20">
        <v>0.08</v>
      </c>
      <c r="K36" s="20">
        <v>0.08</v>
      </c>
      <c r="L36" s="20">
        <v>0.19047619047619047</v>
      </c>
      <c r="M36" s="20">
        <v>8.8235294117647065E-2</v>
      </c>
      <c r="N36" s="20">
        <v>8.8235294117647065E-2</v>
      </c>
      <c r="O36" s="20">
        <v>8.8235294117647065E-2</v>
      </c>
      <c r="Q36" s="14" t="s">
        <v>418</v>
      </c>
    </row>
    <row r="37" spans="1:25" x14ac:dyDescent="0.2">
      <c r="A37" s="21" t="s">
        <v>394</v>
      </c>
      <c r="B37" s="20">
        <v>0</v>
      </c>
      <c r="C37" s="20">
        <v>0</v>
      </c>
      <c r="D37" s="20">
        <v>0.19047619047619047</v>
      </c>
      <c r="E37" s="20">
        <v>0.19047619047619047</v>
      </c>
      <c r="F37" s="20">
        <v>8.8235294117647065E-2</v>
      </c>
      <c r="G37" s="20">
        <v>8.8235294117647065E-2</v>
      </c>
      <c r="I37" s="21" t="s">
        <v>394</v>
      </c>
      <c r="J37" s="20">
        <v>0</v>
      </c>
      <c r="K37" s="20">
        <v>0</v>
      </c>
      <c r="L37" s="20">
        <v>0.19047619047619047</v>
      </c>
      <c r="M37" s="20">
        <v>8.8235294117647065E-2</v>
      </c>
      <c r="N37" s="20">
        <v>8.8235294117647065E-2</v>
      </c>
      <c r="O37" s="20">
        <v>8.8235294117647065E-2</v>
      </c>
      <c r="Q37" s="14" t="s">
        <v>419</v>
      </c>
    </row>
    <row r="38" spans="1:25" x14ac:dyDescent="0.2">
      <c r="A38" s="21" t="s">
        <v>395</v>
      </c>
      <c r="B38" s="20">
        <v>0</v>
      </c>
      <c r="C38" s="20">
        <v>0</v>
      </c>
      <c r="D38" s="20">
        <v>0.19047619047619047</v>
      </c>
      <c r="E38" s="20">
        <v>0.19047619047619047</v>
      </c>
      <c r="F38" s="20">
        <v>0.38235294117647056</v>
      </c>
      <c r="G38" s="20">
        <v>0.38235294117647056</v>
      </c>
      <c r="I38" s="21" t="s">
        <v>395</v>
      </c>
      <c r="J38" s="20">
        <v>0</v>
      </c>
      <c r="K38" s="20">
        <v>0</v>
      </c>
      <c r="L38" s="20">
        <v>0.19047619047619047</v>
      </c>
      <c r="M38" s="20">
        <v>0.38235294117647056</v>
      </c>
      <c r="N38" s="20">
        <v>0.38235294117647056</v>
      </c>
      <c r="O38" s="20">
        <v>0.38235294117647056</v>
      </c>
      <c r="Q38" s="14" t="s">
        <v>420</v>
      </c>
    </row>
    <row r="39" spans="1:25" x14ac:dyDescent="0.2">
      <c r="A39" s="21" t="s">
        <v>396</v>
      </c>
      <c r="B39" s="20">
        <v>0</v>
      </c>
      <c r="C39" s="20">
        <v>0</v>
      </c>
      <c r="D39" s="20">
        <v>0.23809523809523808</v>
      </c>
      <c r="E39" s="20">
        <v>0.23809523809523808</v>
      </c>
      <c r="F39" s="20">
        <v>0.76470588235294112</v>
      </c>
      <c r="G39" s="20">
        <v>0.76470588235294112</v>
      </c>
      <c r="I39" s="21" t="s">
        <v>396</v>
      </c>
      <c r="J39" s="20">
        <v>0</v>
      </c>
      <c r="K39" s="20">
        <v>0</v>
      </c>
      <c r="L39" s="20">
        <v>0.23809523809523808</v>
      </c>
      <c r="M39" s="20">
        <v>0.76470588235294112</v>
      </c>
      <c r="N39" s="20">
        <v>0.76470588235294112</v>
      </c>
      <c r="O39" s="20">
        <v>0.76470588235294112</v>
      </c>
      <c r="Q39" s="14" t="s">
        <v>425</v>
      </c>
    </row>
    <row r="40" spans="1:25" x14ac:dyDescent="0.2">
      <c r="A40" s="21" t="s">
        <v>397</v>
      </c>
      <c r="B40" s="20">
        <v>0.04</v>
      </c>
      <c r="C40" s="20">
        <v>0.04</v>
      </c>
      <c r="D40" s="20">
        <v>0</v>
      </c>
      <c r="E40" s="20">
        <v>0</v>
      </c>
      <c r="F40" s="20">
        <v>0.29411764705882354</v>
      </c>
      <c r="G40" s="20">
        <v>0.29411764705882354</v>
      </c>
      <c r="I40" s="21" t="s">
        <v>397</v>
      </c>
      <c r="J40" s="20">
        <v>0.04</v>
      </c>
      <c r="K40" s="20">
        <v>0.04</v>
      </c>
      <c r="L40" s="20">
        <v>0</v>
      </c>
      <c r="M40" s="20">
        <v>0.29411764705882354</v>
      </c>
      <c r="N40" s="20">
        <v>0.29411764705882354</v>
      </c>
      <c r="O40" s="20">
        <v>0.29411764705882354</v>
      </c>
      <c r="Q40" s="14" t="s">
        <v>421</v>
      </c>
    </row>
    <row r="41" spans="1:25" x14ac:dyDescent="0.2">
      <c r="A41" s="19" t="s">
        <v>398</v>
      </c>
      <c r="B41" s="20">
        <v>0.12</v>
      </c>
      <c r="C41" s="20">
        <v>0.12</v>
      </c>
      <c r="D41" s="20">
        <v>0.52380952380952384</v>
      </c>
      <c r="E41" s="20">
        <v>0.52380952380952384</v>
      </c>
      <c r="F41" s="20">
        <v>0.52941176470588236</v>
      </c>
      <c r="G41" s="20">
        <v>0.52941176470588236</v>
      </c>
      <c r="I41" s="19" t="s">
        <v>398</v>
      </c>
      <c r="J41" s="20">
        <v>0.12</v>
      </c>
      <c r="K41" s="20">
        <v>0.12</v>
      </c>
      <c r="L41" s="20">
        <v>0.52380952380952384</v>
      </c>
      <c r="M41" s="20">
        <v>0.52941176470588236</v>
      </c>
      <c r="N41" s="20">
        <v>0.52941176470588236</v>
      </c>
      <c r="O41" s="20">
        <v>0.52941176470588236</v>
      </c>
    </row>
    <row r="42" spans="1:25" x14ac:dyDescent="0.2">
      <c r="A42" s="19" t="s">
        <v>399</v>
      </c>
      <c r="B42" s="20">
        <v>0.12</v>
      </c>
      <c r="C42" s="20">
        <v>0.12</v>
      </c>
      <c r="D42" s="20">
        <v>0.38095238095238093</v>
      </c>
      <c r="E42" s="20">
        <v>0.38095238095238093</v>
      </c>
      <c r="F42" s="20">
        <v>0.44117647058823528</v>
      </c>
      <c r="G42" s="20">
        <v>0.44117647058823528</v>
      </c>
      <c r="I42" s="19" t="s">
        <v>399</v>
      </c>
      <c r="J42" s="20">
        <v>0.12</v>
      </c>
      <c r="K42" s="20">
        <v>0.12</v>
      </c>
      <c r="L42" s="20">
        <v>0.38095238095238093</v>
      </c>
      <c r="M42" s="20">
        <v>0.44117647058823528</v>
      </c>
      <c r="N42" s="20">
        <v>0.44117647058823528</v>
      </c>
      <c r="O42" s="20">
        <v>0.44117647058823528</v>
      </c>
    </row>
    <row r="43" spans="1:25" x14ac:dyDescent="0.2">
      <c r="A43" s="19" t="s">
        <v>400</v>
      </c>
      <c r="B43" s="20">
        <v>0.72</v>
      </c>
      <c r="C43" s="20">
        <v>0.72</v>
      </c>
      <c r="D43" s="20">
        <v>0.2857142857142857</v>
      </c>
      <c r="E43" s="20">
        <v>0.2857142857142857</v>
      </c>
      <c r="F43" s="20">
        <v>0.94117647058823528</v>
      </c>
      <c r="G43" s="20">
        <v>0.94117647058823528</v>
      </c>
      <c r="I43" s="19" t="s">
        <v>400</v>
      </c>
      <c r="J43" s="20">
        <v>0.72</v>
      </c>
      <c r="K43" s="20">
        <v>0.72</v>
      </c>
      <c r="L43" s="20">
        <v>0.2857142857142857</v>
      </c>
      <c r="M43" s="20">
        <v>0.94117647058823528</v>
      </c>
      <c r="N43" s="20">
        <v>0.94117647058823528</v>
      </c>
      <c r="O43" s="20">
        <v>0.94117647058823528</v>
      </c>
    </row>
    <row r="44" spans="1:25" x14ac:dyDescent="0.2">
      <c r="A44" s="19" t="s">
        <v>401</v>
      </c>
      <c r="B44" s="20">
        <v>0.16</v>
      </c>
      <c r="C44" s="20">
        <v>0.16</v>
      </c>
      <c r="D44" s="20">
        <v>0.14285714285714285</v>
      </c>
      <c r="E44" s="20">
        <v>0.14285714285714285</v>
      </c>
      <c r="F44" s="20">
        <v>0.17647058823529413</v>
      </c>
      <c r="G44" s="20">
        <v>0.17647058823529413</v>
      </c>
      <c r="I44" s="19" t="s">
        <v>401</v>
      </c>
      <c r="J44" s="20">
        <v>0.16</v>
      </c>
      <c r="K44" s="20">
        <v>0.16</v>
      </c>
      <c r="L44" s="20">
        <v>0.14285714285714285</v>
      </c>
      <c r="M44" s="20">
        <v>0.17647058823529413</v>
      </c>
      <c r="N44" s="20">
        <v>0.17647058823529413</v>
      </c>
      <c r="O44" s="20">
        <v>0.17647058823529413</v>
      </c>
    </row>
    <row r="45" spans="1:25" x14ac:dyDescent="0.2">
      <c r="A45" s="22" t="s">
        <v>269</v>
      </c>
      <c r="B45" s="20">
        <v>0.12</v>
      </c>
      <c r="C45" s="20">
        <v>0.12</v>
      </c>
      <c r="D45" s="20">
        <v>0</v>
      </c>
      <c r="E45" s="20">
        <v>0</v>
      </c>
      <c r="F45" s="20">
        <v>0</v>
      </c>
      <c r="G45" s="20">
        <v>0</v>
      </c>
      <c r="I45" s="22" t="s">
        <v>269</v>
      </c>
      <c r="J45" s="20">
        <v>0.12</v>
      </c>
      <c r="K45" s="20">
        <v>0.12</v>
      </c>
      <c r="L45" s="20">
        <v>0</v>
      </c>
      <c r="M45" s="20">
        <v>0</v>
      </c>
      <c r="N45" s="20">
        <v>0</v>
      </c>
      <c r="O45" s="20">
        <v>0</v>
      </c>
    </row>
    <row r="46" spans="1:25" x14ac:dyDescent="0.2">
      <c r="A46" s="17" t="s">
        <v>120</v>
      </c>
      <c r="B46" s="23">
        <v>1.36</v>
      </c>
      <c r="C46" s="23">
        <v>1.36</v>
      </c>
      <c r="D46" s="23">
        <v>2.1428571428571428</v>
      </c>
      <c r="E46" s="23">
        <v>2.1428571428571428</v>
      </c>
      <c r="F46" s="23">
        <v>3.7058823529411762</v>
      </c>
      <c r="G46" s="23">
        <v>3.7058823529411762</v>
      </c>
      <c r="I46" s="17" t="s">
        <v>120</v>
      </c>
      <c r="J46" s="23">
        <v>1.36</v>
      </c>
      <c r="K46" s="23">
        <v>1.36</v>
      </c>
      <c r="L46" s="23">
        <v>2.1428571428571428</v>
      </c>
      <c r="M46" s="23">
        <v>3.7058823529411762</v>
      </c>
      <c r="N46" s="23">
        <v>3.7058823529411762</v>
      </c>
      <c r="O46" s="23">
        <v>3.7058823529411762</v>
      </c>
    </row>
    <row r="48" spans="1:25" x14ac:dyDescent="0.2">
      <c r="A48" s="434" t="s">
        <v>435</v>
      </c>
      <c r="B48" s="434"/>
      <c r="C48" s="434"/>
      <c r="D48" s="434"/>
      <c r="E48" s="434"/>
      <c r="F48" s="434"/>
      <c r="G48" s="434"/>
      <c r="H48" s="434"/>
      <c r="I48" s="434"/>
      <c r="J48" s="434"/>
      <c r="K48" s="434"/>
      <c r="L48" s="434"/>
      <c r="M48" s="434"/>
      <c r="N48" s="434"/>
      <c r="O48" s="434"/>
      <c r="P48" s="434"/>
      <c r="Q48" s="434"/>
      <c r="R48" s="434"/>
      <c r="S48" s="434"/>
      <c r="T48" s="434"/>
      <c r="U48" s="434"/>
      <c r="V48" s="434"/>
      <c r="W48" s="434"/>
      <c r="X48" s="434"/>
      <c r="Y48" s="434"/>
    </row>
    <row r="49" spans="1:25" x14ac:dyDescent="0.2">
      <c r="A49" s="440" t="s">
        <v>428</v>
      </c>
      <c r="B49" s="440"/>
      <c r="C49" s="440"/>
      <c r="D49" s="440"/>
      <c r="E49" s="440"/>
      <c r="F49" s="440"/>
      <c r="G49" s="440"/>
      <c r="H49" s="440"/>
      <c r="I49" s="440"/>
      <c r="J49" s="440"/>
      <c r="K49" s="440"/>
      <c r="L49" s="440"/>
      <c r="M49" s="440"/>
      <c r="N49" s="440"/>
      <c r="O49" s="440"/>
      <c r="P49" s="440"/>
      <c r="Q49" s="440"/>
      <c r="R49" s="440"/>
      <c r="S49" s="440"/>
      <c r="T49" s="440"/>
      <c r="U49" s="440"/>
      <c r="V49" s="440"/>
      <c r="W49" s="440"/>
      <c r="X49" s="440"/>
      <c r="Y49" s="440"/>
    </row>
    <row r="50" spans="1:25" x14ac:dyDescent="0.2">
      <c r="A50" s="441" t="s">
        <v>429</v>
      </c>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row>
    <row r="51" spans="1:25" x14ac:dyDescent="0.2">
      <c r="A51" s="434" t="s">
        <v>430</v>
      </c>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row>
    <row r="52" spans="1:25" x14ac:dyDescent="0.2">
      <c r="A52" s="434" t="s">
        <v>431</v>
      </c>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434"/>
    </row>
  </sheetData>
  <mergeCells count="17">
    <mergeCell ref="I19:I20"/>
    <mergeCell ref="A51:Y51"/>
    <mergeCell ref="A52:Y52"/>
    <mergeCell ref="A50:Y50"/>
    <mergeCell ref="A4:A5"/>
    <mergeCell ref="B4:G4"/>
    <mergeCell ref="I4:I5"/>
    <mergeCell ref="J4:O4"/>
    <mergeCell ref="A49:Y49"/>
    <mergeCell ref="A34:A35"/>
    <mergeCell ref="B34:G34"/>
    <mergeCell ref="I34:I35"/>
    <mergeCell ref="J34:O34"/>
    <mergeCell ref="A48:Y48"/>
    <mergeCell ref="J19:O19"/>
    <mergeCell ref="A19:A20"/>
    <mergeCell ref="B19:G19"/>
  </mergeCells>
  <pageMargins left="0.75" right="0.75" top="1" bottom="1" header="0.5" footer="0.5"/>
  <pageSetup paperSize="8" orientation="landscape" r:id="rId1"/>
  <headerFooter alignWithMargins="0">
    <oddHeader>&amp;L&amp;"Calibri"&amp;10&amp;K000000Official&amp;1#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B6"/>
  <sheetViews>
    <sheetView workbookViewId="0"/>
  </sheetViews>
  <sheetFormatPr defaultRowHeight="12.75" x14ac:dyDescent="0.2"/>
  <cols>
    <col min="1" max="1" width="22.28515625" customWidth="1"/>
    <col min="2" max="2" width="59.5703125" customWidth="1"/>
  </cols>
  <sheetData>
    <row r="1" spans="1:2" x14ac:dyDescent="0.2">
      <c r="A1" s="2" t="s">
        <v>436</v>
      </c>
      <c r="B1" s="2" t="s">
        <v>437</v>
      </c>
    </row>
    <row r="2" spans="1:2" x14ac:dyDescent="0.2">
      <c r="A2" t="s">
        <v>438</v>
      </c>
      <c r="B2" t="s">
        <v>438</v>
      </c>
    </row>
    <row r="3" spans="1:2" x14ac:dyDescent="0.2">
      <c r="A3" t="s">
        <v>439</v>
      </c>
      <c r="B3" t="str">
        <f>""</f>
        <v/>
      </c>
    </row>
    <row r="4" spans="1:2" x14ac:dyDescent="0.2">
      <c r="A4" t="s">
        <v>440</v>
      </c>
      <c r="B4" t="s">
        <v>374</v>
      </c>
    </row>
    <row r="5" spans="1:2" x14ac:dyDescent="0.2">
      <c r="A5" t="s">
        <v>441</v>
      </c>
      <c r="B5" t="s">
        <v>10</v>
      </c>
    </row>
    <row r="6" spans="1:2" x14ac:dyDescent="0.2">
      <c r="A6" t="s">
        <v>442</v>
      </c>
      <c r="B6" t="s">
        <v>374</v>
      </c>
    </row>
  </sheetData>
  <pageMargins left="0.7" right="0.7" top="0.75" bottom="0.75" header="0.3" footer="0.3"/>
  <pageSetup paperSize="9" orientation="portrait" r:id="rId1"/>
  <headerFooter>
    <oddHeader>&amp;L&amp;"Calibri"&amp;10&amp;K000000Official&amp;1#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B2:P47"/>
  <sheetViews>
    <sheetView workbookViewId="0">
      <selection activeCell="D5" sqref="D5"/>
    </sheetView>
  </sheetViews>
  <sheetFormatPr defaultRowHeight="12.75" x14ac:dyDescent="0.2"/>
  <cols>
    <col min="1" max="2" width="2.7109375" customWidth="1"/>
    <col min="3" max="3" width="26.85546875" customWidth="1"/>
    <col min="4" max="4" width="82.28515625" customWidth="1"/>
    <col min="5" max="5" width="2.7109375" customWidth="1"/>
  </cols>
  <sheetData>
    <row r="2" spans="2:16" x14ac:dyDescent="0.2">
      <c r="B2" s="90"/>
      <c r="C2" s="91"/>
      <c r="D2" s="91"/>
      <c r="E2" s="92"/>
    </row>
    <row r="3" spans="2:16" ht="19.5" thickBot="1" x14ac:dyDescent="0.3">
      <c r="B3" s="95"/>
      <c r="C3" s="96" t="s">
        <v>3</v>
      </c>
      <c r="D3" s="96"/>
      <c r="E3" s="97"/>
    </row>
    <row r="4" spans="2:16" ht="13.5" thickTop="1" x14ac:dyDescent="0.2">
      <c r="B4" s="93"/>
      <c r="E4" s="94"/>
    </row>
    <row r="5" spans="2:16" x14ac:dyDescent="0.2">
      <c r="B5" s="93"/>
      <c r="C5" t="s">
        <v>92</v>
      </c>
      <c r="D5" s="114"/>
      <c r="E5" s="94"/>
      <c r="F5" s="230"/>
      <c r="G5" s="230"/>
    </row>
    <row r="6" spans="2:16" x14ac:dyDescent="0.2">
      <c r="B6" s="93"/>
      <c r="E6" s="94"/>
      <c r="F6" s="230"/>
      <c r="G6" s="230"/>
    </row>
    <row r="7" spans="2:16" ht="25.5" customHeight="1" x14ac:dyDescent="0.2">
      <c r="B7" s="93"/>
      <c r="C7" s="9" t="s">
        <v>93</v>
      </c>
      <c r="D7" s="115"/>
      <c r="E7" s="94"/>
      <c r="F7" s="230"/>
      <c r="G7" s="230"/>
    </row>
    <row r="8" spans="2:16" x14ac:dyDescent="0.2">
      <c r="B8" s="93"/>
      <c r="E8" s="94"/>
      <c r="F8" s="230"/>
      <c r="G8" s="230"/>
    </row>
    <row r="9" spans="2:16" ht="262.5" customHeight="1" x14ac:dyDescent="0.2">
      <c r="B9" s="93"/>
      <c r="C9" s="9" t="s">
        <v>94</v>
      </c>
      <c r="D9" s="115"/>
      <c r="E9" s="94"/>
      <c r="F9" s="230"/>
      <c r="G9" s="230"/>
      <c r="M9" s="8"/>
      <c r="N9" s="8"/>
      <c r="O9" s="8"/>
      <c r="P9" s="8"/>
    </row>
    <row r="10" spans="2:16" x14ac:dyDescent="0.2">
      <c r="B10" s="93"/>
      <c r="E10" s="94"/>
      <c r="F10" s="230"/>
      <c r="G10" s="230"/>
      <c r="M10" s="8"/>
      <c r="N10" s="8"/>
      <c r="O10" s="8"/>
      <c r="P10" s="8"/>
    </row>
    <row r="11" spans="2:16" x14ac:dyDescent="0.2">
      <c r="B11" s="93"/>
      <c r="C11" t="s">
        <v>95</v>
      </c>
      <c r="D11" s="116"/>
      <c r="E11" s="94"/>
      <c r="F11" s="230"/>
      <c r="G11" s="230"/>
    </row>
    <row r="12" spans="2:16" x14ac:dyDescent="0.2">
      <c r="B12" s="93"/>
      <c r="E12" s="94"/>
      <c r="F12" s="230"/>
      <c r="G12" s="230"/>
    </row>
    <row r="13" spans="2:16" x14ac:dyDescent="0.2">
      <c r="B13" s="93"/>
      <c r="C13" t="s">
        <v>96</v>
      </c>
      <c r="D13" s="116"/>
      <c r="E13" s="94"/>
      <c r="F13" s="230"/>
      <c r="G13" s="230"/>
    </row>
    <row r="14" spans="2:16" x14ac:dyDescent="0.2">
      <c r="B14" s="101"/>
      <c r="C14" s="102"/>
      <c r="D14" s="102"/>
      <c r="E14" s="103"/>
    </row>
    <row r="47" spans="3:3" x14ac:dyDescent="0.2">
      <c r="C47" s="194"/>
    </row>
  </sheetData>
  <sheetProtection algorithmName="SHA-512" hashValue="do9yICLRAp16SsVgOvlpT1EQWz32KSiLnVEQGGblZd216UVhx90/W7sCmzOzji0J5g4q+645Su8zxGSGSBaTeg==" saltValue="yW+dJNUch4eantwySELEug==" spinCount="100000" sheet="1" selectLockedCells="1"/>
  <mergeCells count="1">
    <mergeCell ref="F5:G13"/>
  </mergeCell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2:U111"/>
  <sheetViews>
    <sheetView workbookViewId="0">
      <selection activeCell="D7" sqref="D7"/>
    </sheetView>
  </sheetViews>
  <sheetFormatPr defaultRowHeight="12.75" x14ac:dyDescent="0.2"/>
  <cols>
    <col min="1" max="2" width="2.7109375" customWidth="1"/>
    <col min="3" max="4" width="9.140625" customWidth="1"/>
    <col min="7" max="13" width="9.140625" customWidth="1"/>
    <col min="16" max="16" width="2.7109375" customWidth="1"/>
  </cols>
  <sheetData>
    <row r="2" spans="2:19" x14ac:dyDescent="0.2">
      <c r="B2" s="90"/>
      <c r="C2" s="91"/>
      <c r="D2" s="91"/>
      <c r="E2" s="91"/>
      <c r="F2" s="91"/>
      <c r="G2" s="91"/>
      <c r="H2" s="91"/>
      <c r="I2" s="91"/>
      <c r="J2" s="91"/>
      <c r="K2" s="91"/>
      <c r="L2" s="91"/>
      <c r="M2" s="91"/>
      <c r="N2" s="91"/>
      <c r="O2" s="91"/>
      <c r="P2" s="92"/>
    </row>
    <row r="3" spans="2:19" ht="19.5" thickBot="1" x14ac:dyDescent="0.3">
      <c r="B3" s="95"/>
      <c r="C3" s="96" t="s">
        <v>4</v>
      </c>
      <c r="D3" s="96"/>
      <c r="E3" s="96"/>
      <c r="F3" s="96"/>
      <c r="G3" s="96"/>
      <c r="H3" s="96"/>
      <c r="I3" s="96"/>
      <c r="J3" s="96"/>
      <c r="K3" s="96"/>
      <c r="L3" s="96"/>
      <c r="M3" s="96"/>
      <c r="N3" s="96"/>
      <c r="O3" s="96"/>
      <c r="P3" s="97"/>
    </row>
    <row r="4" spans="2:19" ht="13.5" thickTop="1" x14ac:dyDescent="0.2">
      <c r="B4" s="93"/>
      <c r="P4" s="94"/>
    </row>
    <row r="5" spans="2:19" ht="16.5" x14ac:dyDescent="0.25">
      <c r="B5" s="93"/>
      <c r="C5" s="3" t="s">
        <v>97</v>
      </c>
      <c r="P5" s="94"/>
    </row>
    <row r="6" spans="2:19" x14ac:dyDescent="0.2">
      <c r="B6" s="93"/>
      <c r="P6" s="94"/>
    </row>
    <row r="7" spans="2:19" x14ac:dyDescent="0.2">
      <c r="B7" s="93"/>
      <c r="C7" t="s">
        <v>98</v>
      </c>
      <c r="D7" s="198"/>
      <c r="E7" t="s">
        <v>99</v>
      </c>
      <c r="P7" s="94"/>
    </row>
    <row r="8" spans="2:19" x14ac:dyDescent="0.2">
      <c r="B8" s="93"/>
      <c r="P8" s="94"/>
    </row>
    <row r="9" spans="2:19" ht="16.5" x14ac:dyDescent="0.25">
      <c r="B9" s="93"/>
      <c r="C9" s="3" t="s">
        <v>100</v>
      </c>
      <c r="D9" s="3"/>
      <c r="E9" s="3"/>
      <c r="F9" s="3"/>
      <c r="G9" s="3"/>
      <c r="H9" s="3"/>
      <c r="I9" s="3"/>
      <c r="J9" s="3"/>
      <c r="K9" s="3"/>
      <c r="L9" s="3"/>
      <c r="M9" s="3"/>
      <c r="N9" s="3"/>
      <c r="O9" s="3"/>
      <c r="P9" s="117"/>
      <c r="Q9" s="3"/>
      <c r="R9" s="3"/>
      <c r="S9" s="3"/>
    </row>
    <row r="10" spans="2:19" x14ac:dyDescent="0.2">
      <c r="B10" s="93"/>
      <c r="I10" s="118"/>
      <c r="P10" s="94"/>
    </row>
    <row r="11" spans="2:19" ht="12.75" customHeight="1" x14ac:dyDescent="0.2">
      <c r="B11" s="93"/>
      <c r="C11" s="258" t="s">
        <v>101</v>
      </c>
      <c r="D11" s="258"/>
      <c r="E11" s="258"/>
      <c r="F11" s="259"/>
      <c r="H11" s="260" t="s">
        <v>102</v>
      </c>
      <c r="I11" s="260"/>
      <c r="J11" s="260"/>
      <c r="K11" s="260"/>
      <c r="L11" s="260"/>
      <c r="M11" s="260"/>
      <c r="N11" s="260"/>
      <c r="O11" s="163"/>
      <c r="P11" s="94"/>
    </row>
    <row r="12" spans="2:19" x14ac:dyDescent="0.2">
      <c r="B12" s="93"/>
      <c r="C12" s="258"/>
      <c r="D12" s="258"/>
      <c r="E12" s="258"/>
      <c r="F12" s="259"/>
      <c r="G12" s="163"/>
      <c r="H12" s="260"/>
      <c r="I12" s="260"/>
      <c r="J12" s="260"/>
      <c r="K12" s="260"/>
      <c r="L12" s="260"/>
      <c r="M12" s="260"/>
      <c r="N12" s="260"/>
      <c r="O12" s="163"/>
      <c r="P12" s="94"/>
    </row>
    <row r="13" spans="2:19" x14ac:dyDescent="0.2">
      <c r="B13" s="93"/>
      <c r="P13" s="94"/>
    </row>
    <row r="14" spans="2:19" x14ac:dyDescent="0.2">
      <c r="B14" s="93"/>
      <c r="C14" t="s">
        <v>103</v>
      </c>
      <c r="H14" s="146"/>
      <c r="P14" s="94"/>
    </row>
    <row r="15" spans="2:19" x14ac:dyDescent="0.2">
      <c r="B15" s="93"/>
      <c r="P15" s="94"/>
    </row>
    <row r="16" spans="2:19" x14ac:dyDescent="0.2">
      <c r="B16" s="93"/>
      <c r="C16" t="s">
        <v>104</v>
      </c>
      <c r="E16" s="261"/>
      <c r="F16" s="261"/>
      <c r="I16" s="118"/>
      <c r="P16" s="94"/>
    </row>
    <row r="17" spans="2:19" x14ac:dyDescent="0.2">
      <c r="B17" s="93"/>
      <c r="J17" s="118"/>
      <c r="P17" s="94"/>
    </row>
    <row r="18" spans="2:19" x14ac:dyDescent="0.2">
      <c r="B18" s="93"/>
      <c r="C18" t="s">
        <v>105</v>
      </c>
      <c r="H18" s="146"/>
      <c r="J18" s="118"/>
      <c r="P18" s="94"/>
    </row>
    <row r="19" spans="2:19" x14ac:dyDescent="0.2">
      <c r="B19" s="93"/>
      <c r="J19" s="118"/>
      <c r="P19" s="94"/>
    </row>
    <row r="20" spans="2:19" x14ac:dyDescent="0.2">
      <c r="B20" s="93"/>
      <c r="C20" t="s">
        <v>106</v>
      </c>
      <c r="E20" s="187"/>
      <c r="F20" t="s">
        <v>107</v>
      </c>
      <c r="J20" s="118"/>
      <c r="P20" s="94"/>
    </row>
    <row r="21" spans="2:19" x14ac:dyDescent="0.2">
      <c r="B21" s="93"/>
      <c r="J21" s="118"/>
      <c r="P21" s="94"/>
    </row>
    <row r="22" spans="2:19" ht="16.5" x14ac:dyDescent="0.25">
      <c r="B22" s="90"/>
      <c r="C22" s="127" t="s">
        <v>108</v>
      </c>
      <c r="D22" s="127"/>
      <c r="E22" s="127"/>
      <c r="F22" s="127"/>
      <c r="G22" s="127"/>
      <c r="H22" s="127"/>
      <c r="I22" s="127"/>
      <c r="J22" s="127"/>
      <c r="K22" s="127"/>
      <c r="L22" s="127"/>
      <c r="M22" s="127"/>
      <c r="N22" s="127"/>
      <c r="O22" s="127"/>
      <c r="P22" s="128"/>
      <c r="Q22" s="3"/>
      <c r="R22" s="3"/>
      <c r="S22" s="3"/>
    </row>
    <row r="23" spans="2:19" ht="12.75" customHeight="1" x14ac:dyDescent="0.25">
      <c r="B23" s="93"/>
      <c r="O23" s="3"/>
      <c r="P23" s="117"/>
      <c r="Q23" s="3"/>
      <c r="R23" s="3"/>
      <c r="S23" s="3"/>
    </row>
    <row r="24" spans="2:19" ht="12.75" customHeight="1" x14ac:dyDescent="0.2">
      <c r="B24" s="93"/>
      <c r="C24" t="s">
        <v>109</v>
      </c>
      <c r="J24" s="118"/>
      <c r="P24" s="94"/>
    </row>
    <row r="25" spans="2:19" ht="12.75" customHeight="1" thickBot="1" x14ac:dyDescent="0.25">
      <c r="B25" s="93"/>
      <c r="J25" s="118"/>
      <c r="P25" s="94"/>
    </row>
    <row r="26" spans="2:19" ht="12.75" customHeight="1" x14ac:dyDescent="0.2">
      <c r="B26" s="93"/>
      <c r="C26" s="255" t="s">
        <v>110</v>
      </c>
      <c r="D26" s="249" t="s">
        <v>111</v>
      </c>
      <c r="E26" s="249"/>
      <c r="F26" s="249"/>
      <c r="G26" s="248" t="s">
        <v>112</v>
      </c>
      <c r="H26" s="248"/>
      <c r="I26" s="248"/>
      <c r="J26" s="248"/>
      <c r="K26" s="248"/>
      <c r="L26" s="248"/>
      <c r="M26" s="248"/>
      <c r="O26" s="240" t="s">
        <v>113</v>
      </c>
      <c r="P26" s="94"/>
    </row>
    <row r="27" spans="2:19" ht="13.5" thickBot="1" x14ac:dyDescent="0.25">
      <c r="B27" s="93"/>
      <c r="C27" s="256"/>
      <c r="D27" s="250"/>
      <c r="E27" s="250"/>
      <c r="F27" s="250"/>
      <c r="G27" s="129" t="s">
        <v>114</v>
      </c>
      <c r="H27" s="130" t="s">
        <v>115</v>
      </c>
      <c r="I27" s="130" t="s">
        <v>116</v>
      </c>
      <c r="J27" s="130" t="s">
        <v>117</v>
      </c>
      <c r="K27" s="130" t="s">
        <v>118</v>
      </c>
      <c r="L27" s="130" t="s">
        <v>119</v>
      </c>
      <c r="M27" s="130" t="s">
        <v>120</v>
      </c>
      <c r="O27" s="240"/>
      <c r="P27" s="94"/>
    </row>
    <row r="28" spans="2:19" x14ac:dyDescent="0.2">
      <c r="B28" s="93"/>
      <c r="C28" s="262" t="s">
        <v>121</v>
      </c>
      <c r="D28" s="251" t="s">
        <v>122</v>
      </c>
      <c r="E28" s="251"/>
      <c r="F28" s="251"/>
      <c r="G28" s="84">
        <v>0</v>
      </c>
      <c r="H28" s="84">
        <v>0</v>
      </c>
      <c r="I28" s="84">
        <v>0</v>
      </c>
      <c r="J28" s="84">
        <v>0</v>
      </c>
      <c r="K28" s="84">
        <v>0</v>
      </c>
      <c r="L28" s="84">
        <v>0</v>
      </c>
      <c r="M28" s="131">
        <f>SUM(G28:L28)</f>
        <v>0</v>
      </c>
      <c r="O28" s="240"/>
      <c r="P28" s="94"/>
    </row>
    <row r="29" spans="2:19" x14ac:dyDescent="0.2">
      <c r="B29" s="93"/>
      <c r="C29" s="263"/>
      <c r="D29" s="252" t="s">
        <v>123</v>
      </c>
      <c r="E29" s="252"/>
      <c r="F29" s="252"/>
      <c r="G29" s="83">
        <v>0</v>
      </c>
      <c r="H29" s="83">
        <v>0</v>
      </c>
      <c r="I29" s="83">
        <v>0</v>
      </c>
      <c r="J29" s="83">
        <v>0</v>
      </c>
      <c r="K29" s="83">
        <v>0</v>
      </c>
      <c r="L29" s="83">
        <v>0</v>
      </c>
      <c r="M29" s="132">
        <f t="shared" ref="M29:M36" si="0">SUM(G29:L29)</f>
        <v>0</v>
      </c>
      <c r="O29" s="240"/>
      <c r="P29" s="94"/>
    </row>
    <row r="30" spans="2:19" ht="13.5" thickBot="1" x14ac:dyDescent="0.25">
      <c r="B30" s="93"/>
      <c r="C30" s="263"/>
      <c r="D30" s="253" t="s">
        <v>124</v>
      </c>
      <c r="E30" s="253"/>
      <c r="F30" s="253"/>
      <c r="G30" s="87">
        <v>0</v>
      </c>
      <c r="H30" s="87">
        <v>0</v>
      </c>
      <c r="I30" s="87">
        <v>0</v>
      </c>
      <c r="J30" s="87">
        <v>0</v>
      </c>
      <c r="K30" s="87">
        <v>0</v>
      </c>
      <c r="L30" s="87">
        <v>0</v>
      </c>
      <c r="M30" s="133">
        <f t="shared" si="0"/>
        <v>0</v>
      </c>
      <c r="O30" s="240"/>
      <c r="P30" s="94"/>
    </row>
    <row r="31" spans="2:19" ht="13.5" thickBot="1" x14ac:dyDescent="0.25">
      <c r="B31" s="93"/>
      <c r="C31" s="264"/>
      <c r="D31" s="254" t="s">
        <v>120</v>
      </c>
      <c r="E31" s="254"/>
      <c r="F31" s="254"/>
      <c r="G31" s="134">
        <f>SUM(G28:G30)</f>
        <v>0</v>
      </c>
      <c r="H31" s="134">
        <f>SUM(H28:H30)</f>
        <v>0</v>
      </c>
      <c r="I31" s="134">
        <f>SUM(I28:I30)</f>
        <v>0</v>
      </c>
      <c r="J31" s="134">
        <f t="shared" ref="J31:L31" si="1">SUM(J28:J30)</f>
        <v>0</v>
      </c>
      <c r="K31" s="134">
        <f t="shared" si="1"/>
        <v>0</v>
      </c>
      <c r="L31" s="134">
        <f t="shared" si="1"/>
        <v>0</v>
      </c>
      <c r="M31" s="135">
        <f t="shared" si="0"/>
        <v>0</v>
      </c>
      <c r="O31" s="240"/>
      <c r="P31" s="94"/>
    </row>
    <row r="32" spans="2:19" x14ac:dyDescent="0.2">
      <c r="B32" s="93"/>
      <c r="C32" s="249" t="s">
        <v>125</v>
      </c>
      <c r="D32" s="251" t="s">
        <v>122</v>
      </c>
      <c r="E32" s="251"/>
      <c r="F32" s="251"/>
      <c r="G32" s="89">
        <v>0</v>
      </c>
      <c r="H32" s="89">
        <v>0</v>
      </c>
      <c r="I32" s="89">
        <v>0</v>
      </c>
      <c r="J32" s="89">
        <v>0</v>
      </c>
      <c r="K32" s="89">
        <v>0</v>
      </c>
      <c r="L32" s="89">
        <v>0</v>
      </c>
      <c r="M32" s="136">
        <f t="shared" si="0"/>
        <v>0</v>
      </c>
      <c r="O32" s="240"/>
      <c r="P32" s="94"/>
    </row>
    <row r="33" spans="2:19" x14ac:dyDescent="0.2">
      <c r="B33" s="93"/>
      <c r="C33" s="265"/>
      <c r="D33" s="252" t="s">
        <v>123</v>
      </c>
      <c r="E33" s="252"/>
      <c r="F33" s="252"/>
      <c r="G33" s="83">
        <v>0</v>
      </c>
      <c r="H33" s="83">
        <v>0</v>
      </c>
      <c r="I33" s="83">
        <v>0</v>
      </c>
      <c r="J33" s="83">
        <v>0</v>
      </c>
      <c r="K33" s="83">
        <v>0</v>
      </c>
      <c r="L33" s="83">
        <v>0</v>
      </c>
      <c r="M33" s="132">
        <f t="shared" si="0"/>
        <v>0</v>
      </c>
      <c r="O33" s="240"/>
      <c r="P33" s="94"/>
    </row>
    <row r="34" spans="2:19" ht="13.5" thickBot="1" x14ac:dyDescent="0.25">
      <c r="B34" s="93"/>
      <c r="C34" s="265"/>
      <c r="D34" s="253" t="s">
        <v>124</v>
      </c>
      <c r="E34" s="253"/>
      <c r="F34" s="253"/>
      <c r="G34" s="87">
        <v>0</v>
      </c>
      <c r="H34" s="87">
        <v>0</v>
      </c>
      <c r="I34" s="87">
        <v>0</v>
      </c>
      <c r="J34" s="87">
        <v>0</v>
      </c>
      <c r="K34" s="87">
        <v>0</v>
      </c>
      <c r="L34" s="87">
        <v>0</v>
      </c>
      <c r="M34" s="133">
        <f t="shared" si="0"/>
        <v>0</v>
      </c>
      <c r="O34" s="240"/>
      <c r="P34" s="94"/>
    </row>
    <row r="35" spans="2:19" ht="13.5" thickBot="1" x14ac:dyDescent="0.25">
      <c r="B35" s="93"/>
      <c r="C35" s="250"/>
      <c r="D35" s="254" t="s">
        <v>120</v>
      </c>
      <c r="E35" s="254"/>
      <c r="F35" s="254"/>
      <c r="G35" s="134">
        <f>SUM(G32:G34)</f>
        <v>0</v>
      </c>
      <c r="H35" s="134">
        <f t="shared" ref="H35" si="2">SUM(H32:H34)</f>
        <v>0</v>
      </c>
      <c r="I35" s="134">
        <f t="shared" ref="I35" si="3">SUM(I32:I34)</f>
        <v>0</v>
      </c>
      <c r="J35" s="134">
        <f t="shared" ref="J35" si="4">SUM(J32:J34)</f>
        <v>0</v>
      </c>
      <c r="K35" s="134">
        <f t="shared" ref="K35" si="5">SUM(K32:K34)</f>
        <v>0</v>
      </c>
      <c r="L35" s="134">
        <f t="shared" ref="L35" si="6">SUM(L32:L34)</f>
        <v>0</v>
      </c>
      <c r="M35" s="135">
        <f t="shared" si="0"/>
        <v>0</v>
      </c>
      <c r="O35" s="240"/>
      <c r="P35" s="94"/>
    </row>
    <row r="36" spans="2:19" ht="13.5" thickBot="1" x14ac:dyDescent="0.25">
      <c r="B36" s="93"/>
      <c r="C36" s="254" t="s">
        <v>120</v>
      </c>
      <c r="D36" s="254"/>
      <c r="E36" s="254"/>
      <c r="F36" s="254"/>
      <c r="G36" s="137">
        <f>SUM(G31,G35)</f>
        <v>0</v>
      </c>
      <c r="H36" s="137">
        <f t="shared" ref="H36:L36" si="7">SUM(H31,H35)</f>
        <v>0</v>
      </c>
      <c r="I36" s="137">
        <f t="shared" si="7"/>
        <v>0</v>
      </c>
      <c r="J36" s="137">
        <f t="shared" si="7"/>
        <v>0</v>
      </c>
      <c r="K36" s="137">
        <f t="shared" si="7"/>
        <v>0</v>
      </c>
      <c r="L36" s="137">
        <f t="shared" si="7"/>
        <v>0</v>
      </c>
      <c r="M36" s="137">
        <f t="shared" si="0"/>
        <v>0</v>
      </c>
      <c r="O36" s="240"/>
      <c r="P36" s="94"/>
    </row>
    <row r="37" spans="2:19" x14ac:dyDescent="0.2">
      <c r="B37" s="93"/>
      <c r="P37" s="94"/>
    </row>
    <row r="38" spans="2:19" x14ac:dyDescent="0.2">
      <c r="B38" s="93"/>
      <c r="C38" s="119" t="s">
        <v>126</v>
      </c>
      <c r="P38" s="94"/>
    </row>
    <row r="39" spans="2:19" x14ac:dyDescent="0.2">
      <c r="B39" s="93"/>
      <c r="P39" s="94"/>
    </row>
    <row r="40" spans="2:19" x14ac:dyDescent="0.2">
      <c r="B40" s="93"/>
      <c r="C40" s="208" t="s">
        <v>127</v>
      </c>
      <c r="D40" s="208"/>
      <c r="E40" s="208"/>
      <c r="F40" s="208"/>
      <c r="G40" s="208"/>
      <c r="H40" s="208"/>
      <c r="I40" s="208"/>
      <c r="J40" s="208"/>
      <c r="K40" s="257"/>
      <c r="P40" s="94"/>
    </row>
    <row r="41" spans="2:19" x14ac:dyDescent="0.2">
      <c r="B41" s="93"/>
      <c r="C41" s="208"/>
      <c r="D41" s="208"/>
      <c r="E41" s="208"/>
      <c r="F41" s="208"/>
      <c r="G41" s="208"/>
      <c r="H41" s="208"/>
      <c r="I41" s="208"/>
      <c r="J41" s="208"/>
      <c r="K41" s="257"/>
      <c r="P41" s="94"/>
    </row>
    <row r="42" spans="2:19" x14ac:dyDescent="0.2">
      <c r="B42" s="93"/>
      <c r="P42" s="94"/>
    </row>
    <row r="43" spans="2:19" ht="12.75" customHeight="1" x14ac:dyDescent="0.2">
      <c r="B43" s="93"/>
      <c r="C43" s="271" t="s">
        <v>128</v>
      </c>
      <c r="D43" s="271"/>
      <c r="E43" s="271"/>
      <c r="F43" s="271"/>
      <c r="G43" s="271"/>
      <c r="H43" s="271"/>
      <c r="I43" s="271"/>
      <c r="J43" s="271"/>
      <c r="K43" s="120"/>
      <c r="P43" s="94"/>
    </row>
    <row r="44" spans="2:19" x14ac:dyDescent="0.2">
      <c r="B44" s="93"/>
      <c r="P44" s="94"/>
    </row>
    <row r="45" spans="2:19" ht="16.5" x14ac:dyDescent="0.25">
      <c r="B45" s="90"/>
      <c r="C45" s="127" t="s">
        <v>129</v>
      </c>
      <c r="D45" s="127"/>
      <c r="E45" s="127"/>
      <c r="F45" s="127"/>
      <c r="G45" s="127"/>
      <c r="H45" s="127"/>
      <c r="I45" s="127"/>
      <c r="J45" s="127"/>
      <c r="K45" s="127"/>
      <c r="L45" s="127"/>
      <c r="M45" s="127"/>
      <c r="N45" s="127"/>
      <c r="O45" s="127"/>
      <c r="P45" s="128"/>
      <c r="Q45" s="3"/>
      <c r="R45" s="3"/>
      <c r="S45" s="3"/>
    </row>
    <row r="46" spans="2:19" x14ac:dyDescent="0.2">
      <c r="B46" s="93"/>
      <c r="P46" s="94"/>
    </row>
    <row r="47" spans="2:19" x14ac:dyDescent="0.2">
      <c r="B47" s="93"/>
      <c r="C47" s="119" t="s">
        <v>130</v>
      </c>
      <c r="P47" s="94"/>
    </row>
    <row r="48" spans="2:19" ht="13.5" thickBot="1" x14ac:dyDescent="0.25">
      <c r="B48" s="93"/>
      <c r="P48" s="94"/>
    </row>
    <row r="49" spans="2:16" ht="13.5" thickBot="1" x14ac:dyDescent="0.25">
      <c r="B49" s="93"/>
      <c r="C49" s="234" t="s">
        <v>131</v>
      </c>
      <c r="D49" s="234"/>
      <c r="E49" s="236" t="s">
        <v>132</v>
      </c>
      <c r="F49" s="236"/>
      <c r="P49" s="94"/>
    </row>
    <row r="50" spans="2:16" ht="13.5" thickBot="1" x14ac:dyDescent="0.25">
      <c r="B50" s="93"/>
      <c r="C50" s="234"/>
      <c r="D50" s="234"/>
      <c r="E50" s="237"/>
      <c r="F50" s="237"/>
      <c r="P50" s="94"/>
    </row>
    <row r="51" spans="2:16" ht="12.75" customHeight="1" x14ac:dyDescent="0.2">
      <c r="B51" s="93"/>
      <c r="C51" s="273" t="s">
        <v>133</v>
      </c>
      <c r="D51" s="273"/>
      <c r="E51" s="272">
        <v>0</v>
      </c>
      <c r="F51" s="272"/>
      <c r="I51" s="121"/>
      <c r="P51" s="94"/>
    </row>
    <row r="52" spans="2:16" x14ac:dyDescent="0.2">
      <c r="B52" s="93"/>
      <c r="C52" s="244" t="s">
        <v>134</v>
      </c>
      <c r="D52" s="244"/>
      <c r="E52" s="270">
        <v>0</v>
      </c>
      <c r="F52" s="270"/>
      <c r="H52" s="121"/>
      <c r="I52" s="121"/>
      <c r="P52" s="94"/>
    </row>
    <row r="53" spans="2:16" x14ac:dyDescent="0.2">
      <c r="B53" s="93"/>
      <c r="C53" s="244" t="s">
        <v>135</v>
      </c>
      <c r="D53" s="244"/>
      <c r="E53" s="270">
        <v>0</v>
      </c>
      <c r="F53" s="270"/>
      <c r="H53" s="231" t="s">
        <v>136</v>
      </c>
      <c r="I53" s="231"/>
      <c r="P53" s="94"/>
    </row>
    <row r="54" spans="2:16" x14ac:dyDescent="0.2">
      <c r="B54" s="93"/>
      <c r="C54" s="244" t="s">
        <v>137</v>
      </c>
      <c r="D54" s="244"/>
      <c r="E54" s="270">
        <v>0</v>
      </c>
      <c r="F54" s="270"/>
      <c r="H54" s="231"/>
      <c r="I54" s="231"/>
      <c r="P54" s="94"/>
    </row>
    <row r="55" spans="2:16" x14ac:dyDescent="0.2">
      <c r="B55" s="93"/>
      <c r="C55" s="244" t="s">
        <v>138</v>
      </c>
      <c r="D55" s="244"/>
      <c r="E55" s="270">
        <v>0</v>
      </c>
      <c r="F55" s="270"/>
      <c r="H55" s="231"/>
      <c r="I55" s="231"/>
      <c r="P55" s="94"/>
    </row>
    <row r="56" spans="2:16" x14ac:dyDescent="0.2">
      <c r="B56" s="93"/>
      <c r="C56" s="162" t="s">
        <v>139</v>
      </c>
      <c r="D56" s="162"/>
      <c r="E56" s="270">
        <v>0</v>
      </c>
      <c r="F56" s="270"/>
      <c r="H56" s="231"/>
      <c r="I56" s="231"/>
      <c r="P56" s="94"/>
    </row>
    <row r="57" spans="2:16" x14ac:dyDescent="0.2">
      <c r="B57" s="93"/>
      <c r="C57" s="162" t="s">
        <v>140</v>
      </c>
      <c r="D57" s="162"/>
      <c r="E57" s="270">
        <v>0</v>
      </c>
      <c r="F57" s="270"/>
      <c r="H57" s="231"/>
      <c r="I57" s="231"/>
      <c r="P57" s="94"/>
    </row>
    <row r="58" spans="2:16" x14ac:dyDescent="0.2">
      <c r="B58" s="93"/>
      <c r="C58" s="162" t="s">
        <v>141</v>
      </c>
      <c r="D58" s="162"/>
      <c r="E58" s="270">
        <v>0</v>
      </c>
      <c r="F58" s="270"/>
      <c r="H58" s="231"/>
      <c r="I58" s="231"/>
      <c r="P58" s="94"/>
    </row>
    <row r="59" spans="2:16" x14ac:dyDescent="0.2">
      <c r="B59" s="93"/>
      <c r="C59" s="244" t="s">
        <v>142</v>
      </c>
      <c r="D59" s="244"/>
      <c r="E59" s="274">
        <f>SUM(E56:E58)</f>
        <v>0</v>
      </c>
      <c r="F59" s="274"/>
      <c r="H59" s="231"/>
      <c r="I59" s="231"/>
      <c r="P59" s="94"/>
    </row>
    <row r="60" spans="2:16" x14ac:dyDescent="0.2">
      <c r="B60" s="93"/>
      <c r="C60" s="244" t="s">
        <v>143</v>
      </c>
      <c r="D60" s="244"/>
      <c r="E60" s="270">
        <v>0</v>
      </c>
      <c r="F60" s="270"/>
      <c r="H60" s="231"/>
      <c r="I60" s="231"/>
      <c r="P60" s="94"/>
    </row>
    <row r="61" spans="2:16" x14ac:dyDescent="0.2">
      <c r="B61" s="93"/>
      <c r="C61" s="244" t="s">
        <v>144</v>
      </c>
      <c r="D61" s="244"/>
      <c r="E61" s="270">
        <v>0</v>
      </c>
      <c r="F61" s="270"/>
      <c r="H61" s="231"/>
      <c r="I61" s="231"/>
      <c r="P61" s="94"/>
    </row>
    <row r="62" spans="2:16" x14ac:dyDescent="0.2">
      <c r="B62" s="93"/>
      <c r="C62" s="244" t="s">
        <v>145</v>
      </c>
      <c r="D62" s="244"/>
      <c r="E62" s="270">
        <v>0</v>
      </c>
      <c r="F62" s="270"/>
      <c r="H62" s="231"/>
      <c r="I62" s="231"/>
      <c r="P62" s="94"/>
    </row>
    <row r="63" spans="2:16" x14ac:dyDescent="0.2">
      <c r="B63" s="93"/>
      <c r="C63" s="244" t="s">
        <v>146</v>
      </c>
      <c r="D63" s="244"/>
      <c r="E63" s="270">
        <v>0</v>
      </c>
      <c r="F63" s="270"/>
      <c r="H63" s="231"/>
      <c r="I63" s="231"/>
      <c r="P63" s="94"/>
    </row>
    <row r="64" spans="2:16" x14ac:dyDescent="0.2">
      <c r="B64" s="93"/>
      <c r="C64" s="244" t="s">
        <v>147</v>
      </c>
      <c r="D64" s="244"/>
      <c r="E64" s="270">
        <v>0</v>
      </c>
      <c r="F64" s="270"/>
      <c r="H64" s="231"/>
      <c r="I64" s="231"/>
      <c r="P64" s="94"/>
    </row>
    <row r="65" spans="2:16" x14ac:dyDescent="0.2">
      <c r="B65" s="93"/>
      <c r="C65" s="244" t="s">
        <v>148</v>
      </c>
      <c r="D65" s="244"/>
      <c r="E65" s="270">
        <v>0</v>
      </c>
      <c r="F65" s="270"/>
      <c r="H65" s="231"/>
      <c r="I65" s="231"/>
      <c r="P65" s="94"/>
    </row>
    <row r="66" spans="2:16" x14ac:dyDescent="0.2">
      <c r="B66" s="93"/>
      <c r="C66" s="244" t="s">
        <v>149</v>
      </c>
      <c r="D66" s="244"/>
      <c r="E66" s="270">
        <v>0</v>
      </c>
      <c r="F66" s="270"/>
      <c r="H66" s="231"/>
      <c r="I66" s="231"/>
      <c r="P66" s="94"/>
    </row>
    <row r="67" spans="2:16" x14ac:dyDescent="0.2">
      <c r="B67" s="93"/>
      <c r="C67" s="244" t="s">
        <v>150</v>
      </c>
      <c r="D67" s="244"/>
      <c r="E67" s="270">
        <v>0</v>
      </c>
      <c r="F67" s="270"/>
      <c r="H67" s="231"/>
      <c r="I67" s="231"/>
      <c r="P67" s="94"/>
    </row>
    <row r="68" spans="2:16" x14ac:dyDescent="0.2">
      <c r="B68" s="93"/>
      <c r="C68" s="244" t="s">
        <v>151</v>
      </c>
      <c r="D68" s="244"/>
      <c r="E68" s="270">
        <v>0</v>
      </c>
      <c r="F68" s="270"/>
      <c r="P68" s="94"/>
    </row>
    <row r="69" spans="2:16" x14ac:dyDescent="0.2">
      <c r="B69" s="93"/>
      <c r="C69" s="266" t="s">
        <v>152</v>
      </c>
      <c r="D69" s="266"/>
      <c r="E69" s="270">
        <v>0</v>
      </c>
      <c r="F69" s="270"/>
      <c r="H69" s="232" t="s">
        <v>153</v>
      </c>
      <c r="I69" s="232"/>
      <c r="J69" s="232"/>
      <c r="K69" s="232"/>
      <c r="L69" s="232"/>
      <c r="M69" s="232"/>
      <c r="P69" s="94"/>
    </row>
    <row r="70" spans="2:16" ht="13.5" customHeight="1" thickBot="1" x14ac:dyDescent="0.25">
      <c r="B70" s="93"/>
      <c r="C70" s="269" t="s">
        <v>154</v>
      </c>
      <c r="D70" s="269"/>
      <c r="E70" s="268">
        <v>0</v>
      </c>
      <c r="F70" s="268"/>
      <c r="H70" s="232"/>
      <c r="I70" s="232"/>
      <c r="J70" s="232"/>
      <c r="K70" s="232"/>
      <c r="L70" s="232"/>
      <c r="M70" s="232"/>
      <c r="N70" s="122"/>
      <c r="O70" s="122"/>
      <c r="P70" s="94"/>
    </row>
    <row r="71" spans="2:16" ht="13.5" thickBot="1" x14ac:dyDescent="0.25">
      <c r="B71" s="93"/>
      <c r="C71" s="234" t="s">
        <v>120</v>
      </c>
      <c r="D71" s="234"/>
      <c r="E71" s="241">
        <f>SUM(E51:F58,E60:F70)</f>
        <v>0</v>
      </c>
      <c r="F71" s="241"/>
      <c r="H71" s="232"/>
      <c r="I71" s="232"/>
      <c r="J71" s="232"/>
      <c r="K71" s="232"/>
      <c r="L71" s="232"/>
      <c r="M71" s="232"/>
      <c r="N71" s="122"/>
      <c r="O71" s="122"/>
      <c r="P71" s="94"/>
    </row>
    <row r="72" spans="2:16" x14ac:dyDescent="0.2">
      <c r="B72" s="93"/>
      <c r="P72" s="94"/>
    </row>
    <row r="73" spans="2:16" x14ac:dyDescent="0.2">
      <c r="B73" s="93"/>
      <c r="C73" s="119" t="s">
        <v>155</v>
      </c>
      <c r="P73" s="94"/>
    </row>
    <row r="74" spans="2:16" ht="13.5" thickBot="1" x14ac:dyDescent="0.25">
      <c r="B74" s="93"/>
      <c r="C74" s="119"/>
      <c r="P74" s="94"/>
    </row>
    <row r="75" spans="2:16" ht="12.75" customHeight="1" thickBot="1" x14ac:dyDescent="0.25">
      <c r="B75" s="93"/>
      <c r="C75" s="234" t="s">
        <v>131</v>
      </c>
      <c r="D75" s="234"/>
      <c r="E75" s="234"/>
      <c r="F75" s="234"/>
      <c r="G75" s="234"/>
      <c r="H75" s="236" t="s">
        <v>132</v>
      </c>
      <c r="I75" s="236"/>
      <c r="K75" s="231" t="s">
        <v>156</v>
      </c>
      <c r="L75" s="231"/>
      <c r="M75" s="231"/>
      <c r="N75" s="231"/>
      <c r="P75" s="94"/>
    </row>
    <row r="76" spans="2:16" ht="13.5" thickBot="1" x14ac:dyDescent="0.25">
      <c r="B76" s="93"/>
      <c r="C76" s="234"/>
      <c r="D76" s="234"/>
      <c r="E76" s="234"/>
      <c r="F76" s="234"/>
      <c r="G76" s="234"/>
      <c r="H76" s="237"/>
      <c r="I76" s="237"/>
      <c r="K76" s="231"/>
      <c r="L76" s="231"/>
      <c r="M76" s="231"/>
      <c r="N76" s="231"/>
      <c r="P76" s="94"/>
    </row>
    <row r="77" spans="2:16" x14ac:dyDescent="0.2">
      <c r="B77" s="93"/>
      <c r="C77" s="57" t="s">
        <v>157</v>
      </c>
      <c r="D77" s="57"/>
      <c r="E77" s="57"/>
      <c r="F77" s="57"/>
      <c r="G77" s="57"/>
      <c r="H77" s="238">
        <f>SUM(E51:F58,E67:F68,E60:F61)</f>
        <v>0</v>
      </c>
      <c r="I77" s="238"/>
      <c r="K77" s="231"/>
      <c r="L77" s="231"/>
      <c r="M77" s="231"/>
      <c r="N77" s="231"/>
      <c r="P77" s="94"/>
    </row>
    <row r="78" spans="2:16" ht="13.5" thickBot="1" x14ac:dyDescent="0.25">
      <c r="B78" s="93"/>
      <c r="C78" s="58" t="s">
        <v>158</v>
      </c>
      <c r="D78" s="58"/>
      <c r="E78" s="58"/>
      <c r="F78" s="58"/>
      <c r="G78" s="58"/>
      <c r="H78" s="239">
        <v>0</v>
      </c>
      <c r="I78" s="239"/>
      <c r="K78" s="231"/>
      <c r="L78" s="231"/>
      <c r="M78" s="231"/>
      <c r="N78" s="231"/>
      <c r="P78" s="94"/>
    </row>
    <row r="79" spans="2:16" ht="13.5" thickBot="1" x14ac:dyDescent="0.25">
      <c r="B79" s="93"/>
      <c r="C79" s="70" t="s">
        <v>120</v>
      </c>
      <c r="D79" s="59"/>
      <c r="E79" s="86"/>
      <c r="F79" s="59"/>
      <c r="G79" s="59"/>
      <c r="H79" s="267">
        <f>H78+H77</f>
        <v>0</v>
      </c>
      <c r="I79" s="267"/>
      <c r="K79" s="231"/>
      <c r="L79" s="231"/>
      <c r="M79" s="231"/>
      <c r="N79" s="231"/>
      <c r="P79" s="94"/>
    </row>
    <row r="80" spans="2:16" x14ac:dyDescent="0.2">
      <c r="B80" s="93"/>
      <c r="J80" s="121"/>
      <c r="K80" s="121"/>
      <c r="L80" s="121"/>
      <c r="M80" s="121"/>
      <c r="N80" s="121"/>
      <c r="P80" s="94"/>
    </row>
    <row r="81" spans="2:21" x14ac:dyDescent="0.2">
      <c r="B81" s="93"/>
      <c r="C81" s="119" t="s">
        <v>159</v>
      </c>
      <c r="I81" s="123"/>
      <c r="J81" s="121"/>
      <c r="K81" s="121"/>
      <c r="L81" s="121"/>
      <c r="M81" s="121"/>
      <c r="N81" s="121"/>
      <c r="P81" s="94"/>
    </row>
    <row r="82" spans="2:21" ht="13.5" thickBot="1" x14ac:dyDescent="0.25">
      <c r="B82" s="93"/>
      <c r="C82" s="119"/>
      <c r="I82" s="123"/>
      <c r="P82" s="94"/>
    </row>
    <row r="83" spans="2:21" ht="13.5" thickBot="1" x14ac:dyDescent="0.25">
      <c r="B83" s="93"/>
      <c r="C83" s="234" t="s">
        <v>131</v>
      </c>
      <c r="D83" s="234"/>
      <c r="E83" s="234"/>
      <c r="F83" s="234"/>
      <c r="G83" s="234"/>
      <c r="H83" s="236" t="s">
        <v>132</v>
      </c>
      <c r="I83" s="236"/>
      <c r="K83" s="240" t="s">
        <v>160</v>
      </c>
      <c r="L83" s="240"/>
      <c r="M83" s="240"/>
      <c r="N83" s="240"/>
      <c r="O83" s="240"/>
      <c r="P83" s="94"/>
    </row>
    <row r="84" spans="2:21" ht="13.5" thickBot="1" x14ac:dyDescent="0.25">
      <c r="B84" s="93"/>
      <c r="C84" s="234"/>
      <c r="D84" s="234"/>
      <c r="E84" s="234"/>
      <c r="F84" s="234"/>
      <c r="G84" s="234"/>
      <c r="H84" s="237"/>
      <c r="I84" s="237"/>
      <c r="K84" s="240"/>
      <c r="L84" s="240"/>
      <c r="M84" s="240"/>
      <c r="N84" s="240"/>
      <c r="O84" s="240"/>
      <c r="P84" s="94"/>
    </row>
    <row r="85" spans="2:21" x14ac:dyDescent="0.2">
      <c r="B85" s="93"/>
      <c r="C85" s="85" t="s">
        <v>161</v>
      </c>
      <c r="D85" s="85"/>
      <c r="E85" s="85"/>
      <c r="F85" s="85"/>
      <c r="G85" s="85"/>
      <c r="H85" s="233">
        <f>SUM(E59:F61)</f>
        <v>0</v>
      </c>
      <c r="I85" s="233"/>
      <c r="K85" s="240"/>
      <c r="L85" s="240"/>
      <c r="M85" s="240"/>
      <c r="N85" s="240"/>
      <c r="O85" s="240"/>
      <c r="P85" s="94"/>
    </row>
    <row r="86" spans="2:21" ht="12.75" customHeight="1" thickBot="1" x14ac:dyDescent="0.25">
      <c r="B86" s="93"/>
      <c r="C86" s="60" t="s">
        <v>162</v>
      </c>
      <c r="D86" s="60"/>
      <c r="E86" s="60"/>
      <c r="F86" s="58"/>
      <c r="G86" s="60"/>
      <c r="H86" s="239">
        <v>0</v>
      </c>
      <c r="I86" s="239"/>
      <c r="K86" s="240"/>
      <c r="L86" s="240"/>
      <c r="M86" s="240"/>
      <c r="N86" s="240"/>
      <c r="O86" s="240"/>
      <c r="P86" s="124"/>
      <c r="Q86" s="10"/>
      <c r="R86" s="10"/>
      <c r="S86" s="10"/>
      <c r="T86" s="10"/>
    </row>
    <row r="87" spans="2:21" ht="13.5" thickBot="1" x14ac:dyDescent="0.25">
      <c r="B87" s="93"/>
      <c r="C87" s="86" t="s">
        <v>120</v>
      </c>
      <c r="D87" s="86"/>
      <c r="E87" s="86"/>
      <c r="F87" s="86"/>
      <c r="G87" s="86"/>
      <c r="H87" s="241">
        <f>H85+H86</f>
        <v>0</v>
      </c>
      <c r="I87" s="241"/>
      <c r="K87" s="240"/>
      <c r="L87" s="240"/>
      <c r="M87" s="240"/>
      <c r="N87" s="240"/>
      <c r="O87" s="240"/>
      <c r="P87" s="94"/>
    </row>
    <row r="88" spans="2:21" ht="12.75" customHeight="1" x14ac:dyDescent="0.2">
      <c r="B88" s="93"/>
      <c r="D88" s="125"/>
      <c r="E88" s="125"/>
      <c r="F88" s="225"/>
      <c r="G88" s="235"/>
      <c r="O88" s="121"/>
      <c r="P88" s="124"/>
      <c r="Q88" s="10"/>
      <c r="R88" s="10"/>
      <c r="S88" s="10"/>
      <c r="T88" s="10"/>
      <c r="U88" s="10"/>
    </row>
    <row r="89" spans="2:21" x14ac:dyDescent="0.2">
      <c r="B89" s="93"/>
      <c r="C89" s="126" t="s">
        <v>163</v>
      </c>
      <c r="D89" s="125"/>
      <c r="E89" s="125"/>
      <c r="F89" s="225"/>
      <c r="G89" s="235"/>
      <c r="O89" s="121"/>
      <c r="P89" s="124"/>
      <c r="Q89" s="10"/>
      <c r="R89" s="10"/>
      <c r="S89" s="10"/>
      <c r="T89" s="10"/>
      <c r="U89" s="10"/>
    </row>
    <row r="90" spans="2:21" ht="13.5" thickBot="1" x14ac:dyDescent="0.25">
      <c r="B90" s="93"/>
      <c r="P90" s="94"/>
    </row>
    <row r="91" spans="2:21" ht="12.75" customHeight="1" thickBot="1" x14ac:dyDescent="0.25">
      <c r="B91" s="93"/>
      <c r="C91" s="234" t="s">
        <v>131</v>
      </c>
      <c r="D91" s="234"/>
      <c r="E91" s="234"/>
      <c r="F91" s="234"/>
      <c r="G91" s="234"/>
      <c r="H91" s="62"/>
      <c r="I91" s="236" t="s">
        <v>132</v>
      </c>
      <c r="J91" s="236"/>
      <c r="L91" s="231" t="s">
        <v>164</v>
      </c>
      <c r="M91" s="231"/>
      <c r="N91" s="231"/>
      <c r="O91" s="231"/>
      <c r="P91" s="94"/>
    </row>
    <row r="92" spans="2:21" ht="13.5" thickBot="1" x14ac:dyDescent="0.25">
      <c r="B92" s="93"/>
      <c r="C92" s="234"/>
      <c r="D92" s="234"/>
      <c r="E92" s="234"/>
      <c r="F92" s="234"/>
      <c r="G92" s="234"/>
      <c r="H92" s="61"/>
      <c r="I92" s="237"/>
      <c r="J92" s="237"/>
      <c r="L92" s="231"/>
      <c r="M92" s="231"/>
      <c r="N92" s="231"/>
      <c r="O92" s="231"/>
      <c r="P92" s="94"/>
    </row>
    <row r="93" spans="2:21" ht="12.75" customHeight="1" x14ac:dyDescent="0.2">
      <c r="B93" s="93"/>
      <c r="C93" s="85" t="s">
        <v>165</v>
      </c>
      <c r="D93" s="85"/>
      <c r="E93" s="85"/>
      <c r="F93" s="85"/>
      <c r="G93" s="85"/>
      <c r="H93" s="85"/>
      <c r="I93" s="233">
        <f>SUM(E51:F58,E67:F68,E60:F62)</f>
        <v>0</v>
      </c>
      <c r="J93" s="233"/>
      <c r="L93" s="231"/>
      <c r="M93" s="231"/>
      <c r="N93" s="231"/>
      <c r="O93" s="231"/>
      <c r="P93" s="124"/>
      <c r="Q93" s="10"/>
    </row>
    <row r="94" spans="2:21" ht="13.5" thickBot="1" x14ac:dyDescent="0.25">
      <c r="B94" s="93"/>
      <c r="C94" s="60" t="s">
        <v>166</v>
      </c>
      <c r="D94" s="58"/>
      <c r="E94" s="58"/>
      <c r="F94" s="58"/>
      <c r="G94" s="58"/>
      <c r="H94" s="58"/>
      <c r="I94" s="268">
        <v>0</v>
      </c>
      <c r="J94" s="268"/>
      <c r="L94" s="231"/>
      <c r="M94" s="231"/>
      <c r="N94" s="231"/>
      <c r="O94" s="231"/>
      <c r="P94" s="94"/>
    </row>
    <row r="95" spans="2:21" ht="13.5" thickBot="1" x14ac:dyDescent="0.25">
      <c r="B95" s="93"/>
      <c r="C95" s="70" t="s">
        <v>120</v>
      </c>
      <c r="D95" s="86"/>
      <c r="E95" s="86"/>
      <c r="F95" s="86"/>
      <c r="G95" s="86"/>
      <c r="H95" s="86"/>
      <c r="I95" s="241">
        <f>SUM(I93,I94)</f>
        <v>0</v>
      </c>
      <c r="J95" s="241"/>
      <c r="L95" s="231"/>
      <c r="M95" s="231"/>
      <c r="N95" s="231"/>
      <c r="O95" s="231"/>
      <c r="P95" s="94"/>
    </row>
    <row r="96" spans="2:21" x14ac:dyDescent="0.2">
      <c r="B96" s="93"/>
      <c r="P96" s="94"/>
    </row>
    <row r="97" spans="2:16" ht="16.5" x14ac:dyDescent="0.25">
      <c r="B97" s="90"/>
      <c r="C97" s="127" t="s">
        <v>167</v>
      </c>
      <c r="D97" s="91"/>
      <c r="E97" s="91"/>
      <c r="F97" s="91"/>
      <c r="G97" s="91"/>
      <c r="H97" s="91"/>
      <c r="I97" s="91"/>
      <c r="J97" s="91"/>
      <c r="K97" s="91"/>
      <c r="L97" s="91"/>
      <c r="M97" s="91"/>
      <c r="N97" s="91"/>
      <c r="O97" s="91"/>
      <c r="P97" s="92"/>
    </row>
    <row r="98" spans="2:16" x14ac:dyDescent="0.2">
      <c r="B98" s="93"/>
      <c r="P98" s="94"/>
    </row>
    <row r="99" spans="2:16" x14ac:dyDescent="0.2">
      <c r="B99" s="93"/>
      <c r="C99" t="s">
        <v>168</v>
      </c>
      <c r="G99" s="1"/>
      <c r="H99" s="242">
        <v>0</v>
      </c>
      <c r="I99" s="242"/>
      <c r="P99" s="94"/>
    </row>
    <row r="100" spans="2:16" x14ac:dyDescent="0.2">
      <c r="B100" s="93"/>
      <c r="P100" s="94"/>
    </row>
    <row r="101" spans="2:16" ht="16.5" x14ac:dyDescent="0.25">
      <c r="B101" s="90"/>
      <c r="C101" s="127" t="s">
        <v>169</v>
      </c>
      <c r="D101" s="91"/>
      <c r="E101" s="91"/>
      <c r="F101" s="91"/>
      <c r="G101" s="91"/>
      <c r="H101" s="91"/>
      <c r="I101" s="91"/>
      <c r="J101" s="91"/>
      <c r="K101" s="91"/>
      <c r="L101" s="91"/>
      <c r="M101" s="91"/>
      <c r="N101" s="91"/>
      <c r="O101" s="91"/>
      <c r="P101" s="92"/>
    </row>
    <row r="102" spans="2:16" ht="13.5" thickBot="1" x14ac:dyDescent="0.25">
      <c r="B102" s="93"/>
      <c r="P102" s="94"/>
    </row>
    <row r="103" spans="2:16" ht="13.5" customHeight="1" thickBot="1" x14ac:dyDescent="0.25">
      <c r="B103" s="93"/>
      <c r="C103" s="243" t="s">
        <v>170</v>
      </c>
      <c r="D103" s="243"/>
      <c r="E103" s="243"/>
      <c r="F103" s="71" t="s">
        <v>171</v>
      </c>
      <c r="H103" s="240" t="s">
        <v>172</v>
      </c>
      <c r="I103" s="240"/>
      <c r="J103" s="240"/>
      <c r="P103" s="94"/>
    </row>
    <row r="104" spans="2:16" x14ac:dyDescent="0.2">
      <c r="B104" s="93"/>
      <c r="C104" s="247" t="s">
        <v>173</v>
      </c>
      <c r="D104" s="247"/>
      <c r="E104" s="247"/>
      <c r="F104" s="75" t="s">
        <v>31</v>
      </c>
      <c r="H104" s="240"/>
      <c r="I104" s="240"/>
      <c r="J104" s="240"/>
      <c r="P104" s="94"/>
    </row>
    <row r="105" spans="2:16" x14ac:dyDescent="0.2">
      <c r="B105" s="93"/>
      <c r="C105" s="207"/>
      <c r="D105" s="207"/>
      <c r="E105" s="207"/>
      <c r="F105" s="74" t="s">
        <v>35</v>
      </c>
      <c r="H105" s="240"/>
      <c r="I105" s="240"/>
      <c r="J105" s="240"/>
      <c r="P105" s="94"/>
    </row>
    <row r="106" spans="2:16" x14ac:dyDescent="0.2">
      <c r="B106" s="93"/>
      <c r="C106" s="244" t="s">
        <v>36</v>
      </c>
      <c r="D106" s="244"/>
      <c r="E106" s="244"/>
      <c r="F106" s="72" t="s">
        <v>37</v>
      </c>
      <c r="H106" s="240"/>
      <c r="I106" s="240"/>
      <c r="J106" s="240"/>
      <c r="P106" s="94"/>
    </row>
    <row r="107" spans="2:16" x14ac:dyDescent="0.2">
      <c r="B107" s="93"/>
      <c r="C107" s="246" t="s">
        <v>48</v>
      </c>
      <c r="D107" s="246"/>
      <c r="E107" s="246"/>
      <c r="F107" s="73" t="s">
        <v>49</v>
      </c>
      <c r="H107" s="240"/>
      <c r="I107" s="240"/>
      <c r="J107" s="240"/>
      <c r="P107" s="94"/>
    </row>
    <row r="108" spans="2:16" x14ac:dyDescent="0.2">
      <c r="B108" s="93"/>
      <c r="C108" s="246"/>
      <c r="D108" s="246"/>
      <c r="E108" s="246"/>
      <c r="F108" s="74" t="s">
        <v>60</v>
      </c>
      <c r="H108" s="240"/>
      <c r="I108" s="240"/>
      <c r="J108" s="240"/>
      <c r="P108" s="94"/>
    </row>
    <row r="109" spans="2:16" x14ac:dyDescent="0.2">
      <c r="B109" s="93"/>
      <c r="C109" s="245" t="s">
        <v>174</v>
      </c>
      <c r="D109" s="245"/>
      <c r="E109" s="245"/>
      <c r="F109" s="76" t="s">
        <v>65</v>
      </c>
      <c r="H109" s="240"/>
      <c r="I109" s="240"/>
      <c r="J109" s="240"/>
      <c r="P109" s="94"/>
    </row>
    <row r="110" spans="2:16" ht="13.5" thickBot="1" x14ac:dyDescent="0.25">
      <c r="B110" s="93"/>
      <c r="C110" s="209" t="s">
        <v>21</v>
      </c>
      <c r="D110" s="209"/>
      <c r="E110" s="209"/>
      <c r="F110" s="77" t="s">
        <v>22</v>
      </c>
      <c r="H110" s="240"/>
      <c r="I110" s="240"/>
      <c r="J110" s="240"/>
      <c r="P110" s="94"/>
    </row>
    <row r="111" spans="2:16" x14ac:dyDescent="0.2">
      <c r="B111" s="101"/>
      <c r="C111" s="102"/>
      <c r="D111" s="102"/>
      <c r="E111" s="102"/>
      <c r="F111" s="102"/>
      <c r="G111" s="102"/>
      <c r="H111" s="102"/>
      <c r="I111" s="102"/>
      <c r="J111" s="102"/>
      <c r="K111" s="102"/>
      <c r="L111" s="102"/>
      <c r="M111" s="102"/>
      <c r="N111" s="102"/>
      <c r="O111" s="102"/>
      <c r="P111" s="103"/>
    </row>
  </sheetData>
  <sheetProtection algorithmName="SHA-512" hashValue="+/Pqk13RuFqhxp63YQVk1pq9MKMRfTDkkoKpxV7Vw/owUTV7fuOVUCjh2A+nhOE+omv3P+D/dHKzT3F3qUpDjg==" saltValue="jlfQ0kri8MYh5jx73HOoTg==" spinCount="100000" sheet="1" selectLockedCells="1"/>
  <mergeCells count="93">
    <mergeCell ref="E67:F67"/>
    <mergeCell ref="E68:F68"/>
    <mergeCell ref="E62:F62"/>
    <mergeCell ref="E63:F63"/>
    <mergeCell ref="E64:F64"/>
    <mergeCell ref="E65:F65"/>
    <mergeCell ref="E66:F66"/>
    <mergeCell ref="C53:D53"/>
    <mergeCell ref="E59:F59"/>
    <mergeCell ref="C54:D54"/>
    <mergeCell ref="E55:F55"/>
    <mergeCell ref="E60:F60"/>
    <mergeCell ref="E56:F56"/>
    <mergeCell ref="E57:F57"/>
    <mergeCell ref="E58:F58"/>
    <mergeCell ref="C65:D65"/>
    <mergeCell ref="C66:D66"/>
    <mergeCell ref="C59:D59"/>
    <mergeCell ref="C60:D60"/>
    <mergeCell ref="C55:D55"/>
    <mergeCell ref="C61:D61"/>
    <mergeCell ref="C67:D67"/>
    <mergeCell ref="I94:J94"/>
    <mergeCell ref="C43:J43"/>
    <mergeCell ref="E51:F51"/>
    <mergeCell ref="E52:F52"/>
    <mergeCell ref="E53:F53"/>
    <mergeCell ref="E54:F54"/>
    <mergeCell ref="C51:D51"/>
    <mergeCell ref="C52:D52"/>
    <mergeCell ref="C49:D50"/>
    <mergeCell ref="E49:F50"/>
    <mergeCell ref="H53:I67"/>
    <mergeCell ref="E61:F61"/>
    <mergeCell ref="C62:D62"/>
    <mergeCell ref="C63:D63"/>
    <mergeCell ref="C64:D64"/>
    <mergeCell ref="H86:I86"/>
    <mergeCell ref="H87:I87"/>
    <mergeCell ref="C68:D68"/>
    <mergeCell ref="C69:D69"/>
    <mergeCell ref="H79:I79"/>
    <mergeCell ref="C71:D71"/>
    <mergeCell ref="E71:F71"/>
    <mergeCell ref="H85:I85"/>
    <mergeCell ref="E70:F70"/>
    <mergeCell ref="C70:D70"/>
    <mergeCell ref="E69:F69"/>
    <mergeCell ref="K40:K41"/>
    <mergeCell ref="C11:E12"/>
    <mergeCell ref="F11:F12"/>
    <mergeCell ref="H11:N12"/>
    <mergeCell ref="E16:F16"/>
    <mergeCell ref="C28:C31"/>
    <mergeCell ref="C32:C35"/>
    <mergeCell ref="D32:F32"/>
    <mergeCell ref="C40:J41"/>
    <mergeCell ref="O26:O36"/>
    <mergeCell ref="G26:M26"/>
    <mergeCell ref="D26:F27"/>
    <mergeCell ref="D28:F28"/>
    <mergeCell ref="D29:F29"/>
    <mergeCell ref="D30:F30"/>
    <mergeCell ref="D31:F31"/>
    <mergeCell ref="D33:F33"/>
    <mergeCell ref="D34:F34"/>
    <mergeCell ref="D35:F35"/>
    <mergeCell ref="C36:F36"/>
    <mergeCell ref="C26:C27"/>
    <mergeCell ref="H99:I99"/>
    <mergeCell ref="C103:E103"/>
    <mergeCell ref="C106:E106"/>
    <mergeCell ref="C109:E109"/>
    <mergeCell ref="C110:E110"/>
    <mergeCell ref="C107:E108"/>
    <mergeCell ref="C104:E105"/>
    <mergeCell ref="H103:J110"/>
    <mergeCell ref="K75:N79"/>
    <mergeCell ref="H69:M71"/>
    <mergeCell ref="I93:J93"/>
    <mergeCell ref="C91:G92"/>
    <mergeCell ref="F88:F89"/>
    <mergeCell ref="G88:G89"/>
    <mergeCell ref="C83:G84"/>
    <mergeCell ref="C75:G76"/>
    <mergeCell ref="H75:I76"/>
    <mergeCell ref="H77:I77"/>
    <mergeCell ref="H78:I78"/>
    <mergeCell ref="K83:O87"/>
    <mergeCell ref="I91:J92"/>
    <mergeCell ref="L91:O95"/>
    <mergeCell ref="H83:I84"/>
    <mergeCell ref="I95:J95"/>
  </mergeCells>
  <dataValidations count="9">
    <dataValidation type="whole" operator="greaterThanOrEqual" showInputMessage="1" showErrorMessage="1" error="Proposed rooms must be a whole number, 0 or greater" sqref="F11:F12" xr:uid="{00000000-0002-0000-0300-000000000000}">
      <formula1>0</formula1>
    </dataValidation>
    <dataValidation type="whole" operator="greaterThanOrEqual" showInputMessage="1" showErrorMessage="1" error="Proposed dwellings must be a whole number, 0 or greater" sqref="G32:L34 G28:L30" xr:uid="{00000000-0002-0000-0300-000001000000}">
      <formula1>0</formula1>
    </dataValidation>
    <dataValidation type="decimal" operator="greaterThanOrEqual" showInputMessage="1" showErrorMessage="1" error="Floorspace must be a number, 0 or greater" sqref="F51:F54 E51:E70 F60:F70" xr:uid="{00000000-0002-0000-0300-000002000000}">
      <formula1>0</formula1>
    </dataValidation>
    <dataValidation type="decimal" showInputMessage="1" showErrorMessage="1" error="Must be a number, less than or equal to the total proposed sui generis and flexible uses floorspace" sqref="H86:I86" xr:uid="{00000000-0002-0000-0300-000003000000}">
      <formula1>0</formula1>
      <formula2>SUM(E69:E70)</formula2>
    </dataValidation>
    <dataValidation type="decimal" showInputMessage="1" showErrorMessage="1" error="Must be a number, less than or equal to the total proposed sui generis and flexible use floorspace" sqref="H78:I78" xr:uid="{00000000-0002-0000-0300-000004000000}">
      <formula1>0</formula1>
      <formula2>SUM(E69:F70)</formula2>
    </dataValidation>
    <dataValidation type="decimal" showInputMessage="1" showErrorMessage="1" error="Must be a number, less than or equal to the total proposed sui generis and flexible uses floorspace" sqref="I94:J94" xr:uid="{00000000-0002-0000-0300-000005000000}">
      <formula1>0</formula1>
      <formula2>SUM(E69:F70)</formula2>
    </dataValidation>
    <dataValidation type="decimal" operator="greaterThanOrEqual" allowBlank="1" showInputMessage="1" showErrorMessage="1" error="Must be a number, 0 or greater" sqref="H99" xr:uid="{00000000-0002-0000-0300-000007000000}">
      <formula1>0</formula1>
    </dataValidation>
    <dataValidation type="decimal" operator="greaterThan" showInputMessage="1" showErrorMessage="1" error="Site area must be a number greater than 0" sqref="D7" xr:uid="{DC855F93-894A-4AB9-B3A6-5A06BED5BC68}">
      <formula1>0</formula1>
    </dataValidation>
    <dataValidation type="decimal" operator="greaterThan" showInputMessage="1" showErrorMessage="1" error="Building height must be a number greater than 0" sqref="E20" xr:uid="{EE2A2741-9045-4373-9600-7504A6C6C798}">
      <formula1>0</formula1>
    </dataValidation>
  </dataValidations>
  <hyperlinks>
    <hyperlink ref="F104" location="'C'!A1" display="'C'!A1" xr:uid="{00000000-0004-0000-0300-000000000000}"/>
    <hyperlink ref="F105" location="D!A1" display="D!A1" xr:uid="{00000000-0004-0000-0300-000002000000}"/>
    <hyperlink ref="F106" location="E!A1" display="E!A1" xr:uid="{00000000-0004-0000-0300-000003000000}"/>
    <hyperlink ref="F107" location="H!A1" display="H!A1" xr:uid="{00000000-0004-0000-0300-000004000000}"/>
    <hyperlink ref="F108" location="I!A1" display="I!A1" xr:uid="{00000000-0004-0000-0300-000005000000}"/>
    <hyperlink ref="F109" location="J!A1" display="J!A1" xr:uid="{00000000-0004-0000-0300-000006000000}"/>
    <hyperlink ref="F110" location="K!A1" display="K!A1" xr:uid="{00000000-0004-0000-0300-000007000000}"/>
  </hyperlinks>
  <pageMargins left="0.39370078740157483" right="0.39370078740157483" top="0.39370078740157483" bottom="0.39370078740157483" header="0.19685039370078741" footer="0.19685039370078741"/>
  <pageSetup paperSize="9" scale="95" orientation="landscape" r:id="rId1"/>
  <headerFooter>
    <oddHeader>&amp;L&amp;"Calibri"&amp;10&amp;K000000Official&amp;1#_x000D_&amp;"Calibri"&amp;11&amp;K000000&amp;9&amp;F</oddHeader>
    <oddFooter>&amp;R&amp;9Page &amp;P of &amp;N</oddFooter>
  </headerFooter>
  <rowBreaks count="2" manualBreakCount="2">
    <brk id="44" min="1" max="15" man="1"/>
    <brk id="80" min="1"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error="Valid responses are 'Yes' or 'No'" xr:uid="{00000000-0002-0000-0300-000008000000}">
          <x14:formula1>
            <xm:f>'Lookup Yes and No'!$A$1:$A$2</xm:f>
          </x14:formula1>
          <xm:sqref>K40:K41 K43 H18 H14</xm:sqref>
        </x14:dataValidation>
        <x14:dataValidation type="list" allowBlank="1" showInputMessage="1" showErrorMessage="1" error="Valid responses are 'Residential' or 'Non-residential'" xr:uid="{00000000-0002-0000-0300-000009000000}">
          <x14:formula1>
            <xm:f>'Lookup Predominant Use'!$A$1:$A$2</xm:f>
          </x14:formula1>
          <xm:sqref>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sheetPr>
  <dimension ref="B2:P47"/>
  <sheetViews>
    <sheetView workbookViewId="0">
      <selection activeCell="H69" sqref="H69:M7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275" t="s">
        <v>175</v>
      </c>
      <c r="D3" s="275"/>
      <c r="E3" s="275"/>
      <c r="F3" s="275"/>
      <c r="G3" s="96"/>
      <c r="H3" s="96"/>
      <c r="I3" s="96"/>
      <c r="J3" s="96"/>
      <c r="K3" s="96"/>
      <c r="L3" s="96"/>
      <c r="M3" s="96"/>
      <c r="N3" s="96"/>
      <c r="O3" s="96"/>
      <c r="P3" s="97"/>
    </row>
    <row r="4" spans="2:16" ht="13.5" thickTop="1" x14ac:dyDescent="0.2">
      <c r="B4" s="93"/>
      <c r="P4" s="94"/>
    </row>
    <row r="5" spans="2:16" x14ac:dyDescent="0.2">
      <c r="B5" s="93"/>
      <c r="C5" t="s">
        <v>176</v>
      </c>
      <c r="F5" s="138">
        <f>'Development Details'!M36</f>
        <v>0</v>
      </c>
      <c r="P5" s="94"/>
    </row>
    <row r="6" spans="2:16" x14ac:dyDescent="0.2">
      <c r="B6" s="93"/>
      <c r="P6" s="94"/>
    </row>
    <row r="7" spans="2:16" ht="12.75" customHeight="1" x14ac:dyDescent="0.2">
      <c r="B7" s="93"/>
      <c r="C7" s="208" t="s">
        <v>127</v>
      </c>
      <c r="D7" s="208"/>
      <c r="E7" s="208"/>
      <c r="F7" s="208"/>
      <c r="G7" s="208"/>
      <c r="H7" s="208"/>
      <c r="I7" s="208"/>
      <c r="J7" s="208"/>
      <c r="K7" s="277" t="str">
        <f>IF(AND(ISBLANK('Development Details'!K40),F5&gt;0,F5&lt;10),Inputs_still_required,IF(AND(F5&lt;10,F5&gt;0),'Development Details'!K40,""))</f>
        <v/>
      </c>
      <c r="P7" s="94"/>
    </row>
    <row r="8" spans="2:16" x14ac:dyDescent="0.2">
      <c r="B8" s="93"/>
      <c r="C8" s="208"/>
      <c r="D8" s="208"/>
      <c r="E8" s="208"/>
      <c r="F8" s="208"/>
      <c r="G8" s="208"/>
      <c r="H8" s="208"/>
      <c r="I8" s="208"/>
      <c r="J8" s="208"/>
      <c r="K8" s="277"/>
      <c r="P8" s="94"/>
    </row>
    <row r="9" spans="2:16" x14ac:dyDescent="0.2">
      <c r="B9" s="93"/>
      <c r="P9" s="94"/>
    </row>
    <row r="10" spans="2:16" x14ac:dyDescent="0.2">
      <c r="B10" s="93"/>
      <c r="C10" s="280" t="s">
        <v>128</v>
      </c>
      <c r="D10" s="280"/>
      <c r="E10" s="280"/>
      <c r="F10" s="280"/>
      <c r="G10" s="280"/>
      <c r="H10" s="280"/>
      <c r="I10" s="280"/>
      <c r="J10" s="280"/>
      <c r="K10" s="277" t="str">
        <f>IF(AND(ISBLANK('Development Details'!K43),F5&gt;0,F5&lt;10),Inputs_still_required,IF(AND(F5&lt;10,F5&gt;0),'Development Details'!K43,""))</f>
        <v/>
      </c>
      <c r="P10" s="94"/>
    </row>
    <row r="11" spans="2:16" x14ac:dyDescent="0.2">
      <c r="B11" s="93"/>
      <c r="C11" s="280"/>
      <c r="D11" s="280"/>
      <c r="E11" s="280"/>
      <c r="F11" s="280"/>
      <c r="G11" s="280"/>
      <c r="H11" s="280"/>
      <c r="I11" s="280"/>
      <c r="J11" s="280"/>
      <c r="K11" s="277"/>
      <c r="P11" s="94"/>
    </row>
    <row r="12" spans="2:16" x14ac:dyDescent="0.2">
      <c r="B12" s="93"/>
      <c r="P12" s="94"/>
    </row>
    <row r="13" spans="2:16" ht="16.5" x14ac:dyDescent="0.25">
      <c r="B13" s="93"/>
      <c r="C13" s="3" t="s">
        <v>177</v>
      </c>
      <c r="P13" s="94"/>
    </row>
    <row r="14" spans="2:16" x14ac:dyDescent="0.2">
      <c r="B14" s="93"/>
      <c r="P14" s="94"/>
    </row>
    <row r="15" spans="2:16" ht="12.75" customHeight="1" x14ac:dyDescent="0.2">
      <c r="B15" s="93"/>
      <c r="C15" s="278" t="str">
        <f>IF(F5&gt;=10,"Yes",IF(F5=0,"No",IF(AND(F5&gt;0,(OR('Development Details'!K40="Yes",'Development Details'!K43="Yes"))),"Yes",IF(OR(ISBLANK('Development Details'!K40),ISBLANK('Development Details'!K43)),Inputs_still_required,"No"))))</f>
        <v>No</v>
      </c>
      <c r="D15" s="279" t="s">
        <v>178</v>
      </c>
      <c r="E15" s="278" t="str">
        <f>IF(F5=0, "No dwellings are proposed", IF(F5&gt;=10, "10 or more dwellings are proposed", IF(OR('Development Details'!K40="Yes",'Development Details'!K43="Yes"),  "Densities are below the London Plan SRQ density matrix or dwellings sizes significantly exceed the London Plan space standards", IF(OR(ISBLANK('Development Details'!K40),ISBLANK('Development Details'!K43)),Inputs_still_required, "Less than 10 dwellings are proposed and densities are not below the London Plan SRQ density matrix and dwellings sizes do not significantly exceed the London Plan space standards"))))</f>
        <v>No dwellings are proposed</v>
      </c>
      <c r="F15" s="278"/>
      <c r="G15" s="278"/>
      <c r="H15" s="278"/>
      <c r="I15" s="278"/>
      <c r="J15" s="278"/>
      <c r="K15" s="278"/>
      <c r="L15" s="278"/>
      <c r="M15" s="278"/>
      <c r="P15" s="94"/>
    </row>
    <row r="16" spans="2:16" x14ac:dyDescent="0.2">
      <c r="B16" s="93"/>
      <c r="C16" s="278"/>
      <c r="D16" s="279"/>
      <c r="E16" s="278"/>
      <c r="F16" s="278"/>
      <c r="G16" s="278"/>
      <c r="H16" s="278"/>
      <c r="I16" s="278"/>
      <c r="J16" s="278"/>
      <c r="K16" s="278"/>
      <c r="L16" s="278"/>
      <c r="M16" s="278"/>
      <c r="P16" s="94"/>
    </row>
    <row r="17" spans="2:16" x14ac:dyDescent="0.2">
      <c r="B17" s="93"/>
      <c r="P17" s="94"/>
    </row>
    <row r="18" spans="2:16" ht="16.5" x14ac:dyDescent="0.25">
      <c r="B18" s="93"/>
      <c r="C18" s="3" t="s">
        <v>81</v>
      </c>
      <c r="P18" s="94"/>
    </row>
    <row r="19" spans="2:16" x14ac:dyDescent="0.2">
      <c r="B19" s="93"/>
      <c r="P19" s="94"/>
    </row>
    <row r="20" spans="2:16" x14ac:dyDescent="0.2">
      <c r="B20" s="93"/>
      <c r="C20" s="276" t="str">
        <f>IF(C15="Yes","The maximum reasonable amount of affordable housing will be sought",IF(C15=Inputs_still_required,Inputs_still_required,No_requirement))</f>
        <v/>
      </c>
      <c r="D20" s="276"/>
      <c r="E20" s="276"/>
      <c r="F20" s="276"/>
      <c r="G20" s="276"/>
      <c r="H20" s="276"/>
      <c r="I20" s="276"/>
      <c r="P20" s="94"/>
    </row>
    <row r="21" spans="2:16" x14ac:dyDescent="0.2">
      <c r="B21" s="101"/>
      <c r="C21" s="102"/>
      <c r="D21" s="102"/>
      <c r="E21" s="102"/>
      <c r="F21" s="102"/>
      <c r="G21" s="102"/>
      <c r="H21" s="102"/>
      <c r="I21" s="102"/>
      <c r="J21" s="102"/>
      <c r="K21" s="102"/>
      <c r="L21" s="102"/>
      <c r="M21" s="102"/>
      <c r="N21" s="102"/>
      <c r="O21" s="102"/>
      <c r="P21" s="103"/>
    </row>
    <row r="23" spans="2:16" x14ac:dyDescent="0.2">
      <c r="C23" s="63" t="s">
        <v>179</v>
      </c>
    </row>
    <row r="47" spans="3:3" x14ac:dyDescent="0.2">
      <c r="C47" s="194"/>
    </row>
  </sheetData>
  <sheetProtection algorithmName="SHA-512" hashValue="02zcNULpqxOyhPfA3wQ2G4FAq6jMcyhrky5Uob4rPLJ9KuUeECC61tne9B8f7FWV71x6h+a+ibyc24i/+xA5tw==" saltValue="m6oHk3lrPAeW25evBKe0UA==" spinCount="100000" sheet="1" selectLockedCells="1"/>
  <mergeCells count="9">
    <mergeCell ref="C3:F3"/>
    <mergeCell ref="C20:I20"/>
    <mergeCell ref="K7:K8"/>
    <mergeCell ref="K10:K11"/>
    <mergeCell ref="E15:M16"/>
    <mergeCell ref="C15:C16"/>
    <mergeCell ref="D15:D16"/>
    <mergeCell ref="C7:J8"/>
    <mergeCell ref="C10:J11"/>
  </mergeCells>
  <conditionalFormatting sqref="C15:C16">
    <cfRule type="expression" dxfId="48" priority="2">
      <formula>$C$15="Yes"</formula>
    </cfRule>
  </conditionalFormatting>
  <conditionalFormatting sqref="C20:I20">
    <cfRule type="expression" dxfId="47" priority="1">
      <formula>$C$15="Yes"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B2:P44"/>
  <sheetViews>
    <sheetView workbookViewId="0">
      <selection activeCell="D19" sqref="D19:D20"/>
    </sheetView>
  </sheetViews>
  <sheetFormatPr defaultColWidth="9.140625" defaultRowHeight="12.75" x14ac:dyDescent="0.2"/>
  <cols>
    <col min="1" max="2" width="2.7109375" customWidth="1"/>
    <col min="5" max="5" width="9.140625" customWidth="1"/>
    <col min="7" max="7" width="9.140625" customWidth="1"/>
    <col min="10" max="10" width="9.14062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180</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D5" s="3"/>
      <c r="E5" s="3"/>
      <c r="F5" s="3"/>
      <c r="G5" s="3"/>
      <c r="H5" s="3"/>
      <c r="I5" s="3"/>
      <c r="J5" s="3"/>
      <c r="K5" s="3"/>
      <c r="L5" s="3"/>
      <c r="M5" s="3"/>
      <c r="N5" s="3"/>
      <c r="P5" s="94"/>
    </row>
    <row r="6" spans="2:16" x14ac:dyDescent="0.2">
      <c r="B6" s="93"/>
      <c r="P6" s="94"/>
    </row>
    <row r="7" spans="2:16" x14ac:dyDescent="0.2">
      <c r="B7" s="93"/>
      <c r="C7" s="139" t="str">
        <f>IF(OR('Development Details'!M36&gt;=100,'Development Details'!H79&gt;=1000),"Yes","No")</f>
        <v>No</v>
      </c>
      <c r="D7" s="1" t="s">
        <v>178</v>
      </c>
      <c r="E7" s="276" t="str">
        <f>IF(C7="Yes","The development provides 100 or more dwellings, or 1,000m² or more commercial floorspace, or both","The development provides less than 100 dwellings and less than 1,000m² commercial floorspace")</f>
        <v>The development provides less than 100 dwellings and less than 1,000m² commercial floorspace</v>
      </c>
      <c r="F7" s="276"/>
      <c r="G7" s="276"/>
      <c r="H7" s="276"/>
      <c r="I7" s="276"/>
      <c r="J7" s="276"/>
      <c r="K7" s="276"/>
      <c r="L7" s="276"/>
      <c r="M7" s="276"/>
      <c r="N7" s="276"/>
      <c r="P7" s="94"/>
    </row>
    <row r="8" spans="2:16" x14ac:dyDescent="0.2">
      <c r="B8" s="93"/>
      <c r="P8" s="94"/>
    </row>
    <row r="9" spans="2:16" ht="16.5" x14ac:dyDescent="0.25">
      <c r="B9" s="90"/>
      <c r="C9" s="127" t="s">
        <v>181</v>
      </c>
      <c r="D9" s="91"/>
      <c r="E9" s="91"/>
      <c r="F9" s="91"/>
      <c r="G9" s="91"/>
      <c r="H9" s="91"/>
      <c r="I9" s="91"/>
      <c r="J9" s="91"/>
      <c r="K9" s="91"/>
      <c r="L9" s="91"/>
      <c r="M9" s="91"/>
      <c r="N9" s="91"/>
      <c r="O9" s="91"/>
      <c r="P9" s="92"/>
    </row>
    <row r="10" spans="2:16" x14ac:dyDescent="0.2">
      <c r="B10" s="93"/>
      <c r="P10" s="94"/>
    </row>
    <row r="11" spans="2:16" x14ac:dyDescent="0.2">
      <c r="B11" s="93"/>
      <c r="C11" s="140" t="s">
        <v>182</v>
      </c>
      <c r="G11" s="225"/>
      <c r="H11" s="225"/>
      <c r="P11" s="94"/>
    </row>
    <row r="12" spans="2:16" x14ac:dyDescent="0.2">
      <c r="B12" s="93"/>
      <c r="C12" s="140"/>
      <c r="P12" s="94"/>
    </row>
    <row r="13" spans="2:16" x14ac:dyDescent="0.2">
      <c r="B13" s="93"/>
      <c r="C13" s="284" t="s">
        <v>183</v>
      </c>
      <c r="D13" s="284"/>
      <c r="E13" s="284"/>
      <c r="F13" s="284"/>
      <c r="G13" s="284"/>
      <c r="H13" s="179" t="s">
        <v>184</v>
      </c>
      <c r="I13" s="287" t="s">
        <v>185</v>
      </c>
      <c r="J13" s="287"/>
      <c r="K13" s="287"/>
      <c r="L13" s="287"/>
      <c r="M13" s="287"/>
      <c r="N13" s="98"/>
      <c r="O13" s="98"/>
      <c r="P13" s="94"/>
    </row>
    <row r="14" spans="2:16" x14ac:dyDescent="0.2">
      <c r="B14" s="93"/>
      <c r="C14" s="285"/>
      <c r="D14" s="285"/>
      <c r="E14" s="285"/>
      <c r="F14" s="285"/>
      <c r="G14" s="285"/>
      <c r="H14" s="142" t="s">
        <v>184</v>
      </c>
      <c r="I14" s="285" t="str">
        <f>IF(C7="No","","("&amp;TEXT('Development Details'!E71,"#,##0")&amp;" / 1,000) × 5")</f>
        <v/>
      </c>
      <c r="J14" s="285"/>
      <c r="K14" s="285"/>
      <c r="L14" s="285"/>
      <c r="M14" s="285"/>
      <c r="P14" s="94"/>
    </row>
    <row r="15" spans="2:16" x14ac:dyDescent="0.2">
      <c r="B15" s="93"/>
      <c r="C15" s="276"/>
      <c r="D15" s="276"/>
      <c r="E15" s="276"/>
      <c r="F15" s="276"/>
      <c r="G15" s="276"/>
      <c r="H15" s="144" t="s">
        <v>184</v>
      </c>
      <c r="I15" s="286" t="str">
        <f>IF(C7="No","",('Development Details'!E71/1000)*5)</f>
        <v/>
      </c>
      <c r="J15" s="286"/>
      <c r="K15" s="286"/>
      <c r="L15" s="286"/>
      <c r="M15" s="286"/>
      <c r="P15" s="94"/>
    </row>
    <row r="16" spans="2:16" x14ac:dyDescent="0.2">
      <c r="B16" s="93"/>
      <c r="C16" s="140"/>
      <c r="P16" s="94"/>
    </row>
    <row r="17" spans="2:16" x14ac:dyDescent="0.2">
      <c r="B17" s="93"/>
      <c r="C17" s="140" t="s">
        <v>186</v>
      </c>
      <c r="P17" s="94"/>
    </row>
    <row r="18" spans="2:16" x14ac:dyDescent="0.2">
      <c r="B18" s="93"/>
      <c r="P18" s="94"/>
    </row>
    <row r="19" spans="2:16" x14ac:dyDescent="0.2">
      <c r="B19" s="93"/>
      <c r="C19" s="258" t="s">
        <v>187</v>
      </c>
      <c r="D19" s="288">
        <v>0</v>
      </c>
      <c r="E19" s="260" t="s">
        <v>188</v>
      </c>
      <c r="F19" s="260"/>
      <c r="G19" s="260"/>
      <c r="H19" s="260"/>
      <c r="I19" s="260"/>
      <c r="J19" s="260"/>
      <c r="K19" s="260"/>
      <c r="L19" s="260"/>
      <c r="M19" s="260"/>
      <c r="N19" s="260"/>
      <c r="O19" s="260"/>
      <c r="P19" s="94"/>
    </row>
    <row r="20" spans="2:16" x14ac:dyDescent="0.2">
      <c r="B20" s="93"/>
      <c r="C20" s="258"/>
      <c r="D20" s="288"/>
      <c r="E20" s="260"/>
      <c r="F20" s="260"/>
      <c r="G20" s="260"/>
      <c r="H20" s="260"/>
      <c r="I20" s="260"/>
      <c r="J20" s="260"/>
      <c r="K20" s="260"/>
      <c r="L20" s="260"/>
      <c r="M20" s="260"/>
      <c r="N20" s="260"/>
      <c r="O20" s="260"/>
      <c r="P20" s="94"/>
    </row>
    <row r="21" spans="2:16" x14ac:dyDescent="0.2">
      <c r="B21" s="93"/>
      <c r="P21" s="94"/>
    </row>
    <row r="22" spans="2:16" ht="12.75" customHeight="1" x14ac:dyDescent="0.2">
      <c r="B22" s="93"/>
      <c r="C22" s="284" t="s">
        <v>183</v>
      </c>
      <c r="D22" s="284"/>
      <c r="E22" s="284"/>
      <c r="F22" s="284"/>
      <c r="G22" s="284"/>
      <c r="H22" s="179" t="s">
        <v>184</v>
      </c>
      <c r="I22" s="290" t="s">
        <v>189</v>
      </c>
      <c r="J22" s="290"/>
      <c r="K22" s="290"/>
      <c r="L22" s="290"/>
      <c r="M22" s="290"/>
      <c r="N22" s="98"/>
      <c r="O22" s="98"/>
      <c r="P22" s="94"/>
    </row>
    <row r="23" spans="2:16" x14ac:dyDescent="0.2">
      <c r="B23" s="93"/>
      <c r="C23" s="201"/>
      <c r="D23" s="201"/>
      <c r="E23" s="201"/>
      <c r="F23" s="201"/>
      <c r="G23" s="201"/>
      <c r="H23" s="179"/>
      <c r="I23" s="290"/>
      <c r="J23" s="290"/>
      <c r="K23" s="290"/>
      <c r="L23" s="290"/>
      <c r="M23" s="290"/>
      <c r="N23" s="98"/>
      <c r="O23" s="98"/>
      <c r="P23" s="94"/>
    </row>
    <row r="24" spans="2:16" x14ac:dyDescent="0.2">
      <c r="B24" s="93"/>
      <c r="C24" s="285"/>
      <c r="D24" s="285"/>
      <c r="E24" s="285"/>
      <c r="F24" s="285"/>
      <c r="G24" s="285"/>
      <c r="H24" s="142" t="s">
        <v>184</v>
      </c>
      <c r="I24" s="285" t="str">
        <f>IF(C7="No","",TEXT(B!D19,"#,##0.0")&amp;" × 27%")</f>
        <v/>
      </c>
      <c r="J24" s="285"/>
      <c r="K24" s="285"/>
      <c r="L24" s="285"/>
      <c r="M24" s="285"/>
      <c r="P24" s="94"/>
    </row>
    <row r="25" spans="2:16" ht="12.75" customHeight="1" x14ac:dyDescent="0.2">
      <c r="B25" s="93"/>
      <c r="C25" s="276"/>
      <c r="D25" s="276"/>
      <c r="E25" s="276"/>
      <c r="F25" s="276"/>
      <c r="G25" s="276"/>
      <c r="H25" s="144" t="s">
        <v>184</v>
      </c>
      <c r="I25" s="286" t="str">
        <f>IF(C7="No","",B!D19*27/100)</f>
        <v/>
      </c>
      <c r="J25" s="286"/>
      <c r="K25" s="286"/>
      <c r="L25" s="286"/>
      <c r="M25" s="286"/>
      <c r="P25" s="94"/>
    </row>
    <row r="26" spans="2:16" ht="12.75" customHeight="1" x14ac:dyDescent="0.2">
      <c r="B26" s="93"/>
      <c r="P26" s="94"/>
    </row>
    <row r="27" spans="2:16" ht="12.75" customHeight="1" x14ac:dyDescent="0.2">
      <c r="B27" s="93"/>
      <c r="C27" s="119" t="s">
        <v>120</v>
      </c>
      <c r="P27" s="94"/>
    </row>
    <row r="28" spans="2:16" ht="12.75" customHeight="1" x14ac:dyDescent="0.2">
      <c r="B28" s="93"/>
      <c r="P28" s="94"/>
    </row>
    <row r="29" spans="2:16" ht="12.75" customHeight="1" x14ac:dyDescent="0.2">
      <c r="B29" s="93"/>
      <c r="C29" s="284" t="s">
        <v>183</v>
      </c>
      <c r="D29" s="284"/>
      <c r="E29" s="284"/>
      <c r="F29" s="284"/>
      <c r="G29" s="284"/>
      <c r="H29" s="179" t="s">
        <v>184</v>
      </c>
      <c r="I29" s="287" t="s">
        <v>190</v>
      </c>
      <c r="J29" s="287"/>
      <c r="K29" s="287"/>
      <c r="L29" s="287"/>
      <c r="M29" s="287"/>
      <c r="P29" s="94"/>
    </row>
    <row r="30" spans="2:16" ht="12.75" customHeight="1" x14ac:dyDescent="0.2">
      <c r="B30" s="93"/>
      <c r="C30" s="285"/>
      <c r="D30" s="285"/>
      <c r="E30" s="285"/>
      <c r="F30" s="285"/>
      <c r="G30" s="285"/>
      <c r="H30" s="142" t="s">
        <v>184</v>
      </c>
      <c r="I30" s="285" t="str">
        <f>IF(C7="No","",TEXT(I15,"#,##0.0")&amp;" + "&amp;TEXT(I25,"#,##0.0"))</f>
        <v/>
      </c>
      <c r="J30" s="285"/>
      <c r="K30" s="285"/>
      <c r="L30" s="285"/>
      <c r="M30" s="285"/>
      <c r="P30" s="94"/>
    </row>
    <row r="31" spans="2:16" ht="12.75" customHeight="1" x14ac:dyDescent="0.2">
      <c r="B31" s="93"/>
      <c r="C31" s="276"/>
      <c r="D31" s="276"/>
      <c r="E31" s="276"/>
      <c r="F31" s="276"/>
      <c r="G31" s="276"/>
      <c r="H31" s="144" t="s">
        <v>184</v>
      </c>
      <c r="I31" s="286" t="str">
        <f>IF(C7="No","",I15+I25)</f>
        <v/>
      </c>
      <c r="J31" s="286"/>
      <c r="K31" s="286"/>
      <c r="L31" s="286"/>
      <c r="M31" s="286"/>
      <c r="P31" s="94"/>
    </row>
    <row r="32" spans="2:16" x14ac:dyDescent="0.2">
      <c r="B32" s="93"/>
      <c r="P32" s="94"/>
    </row>
    <row r="33" spans="2:16" ht="16.5" x14ac:dyDescent="0.25">
      <c r="B33" s="90"/>
      <c r="C33" s="127" t="s">
        <v>191</v>
      </c>
      <c r="D33" s="91"/>
      <c r="E33" s="91"/>
      <c r="F33" s="91"/>
      <c r="G33" s="91"/>
      <c r="H33" s="91"/>
      <c r="I33" s="91"/>
      <c r="J33" s="91"/>
      <c r="K33" s="91"/>
      <c r="L33" s="91"/>
      <c r="M33" s="91"/>
      <c r="N33" s="91"/>
      <c r="O33" s="91"/>
      <c r="P33" s="92"/>
    </row>
    <row r="34" spans="2:16" ht="13.5" thickBot="1" x14ac:dyDescent="0.25">
      <c r="B34" s="93"/>
      <c r="P34" s="94"/>
    </row>
    <row r="35" spans="2:16" ht="12.75" customHeight="1" x14ac:dyDescent="0.2">
      <c r="B35" s="93"/>
      <c r="C35" s="85" t="s">
        <v>26</v>
      </c>
      <c r="D35" s="289" t="s">
        <v>192</v>
      </c>
      <c r="E35" s="289"/>
      <c r="F35" s="289"/>
      <c r="G35" s="289"/>
      <c r="H35" s="289"/>
      <c r="I35" s="289"/>
      <c r="J35" s="289"/>
      <c r="K35" s="289"/>
      <c r="L35" s="289"/>
      <c r="M35" s="184" t="str">
        <f>IF(C7="No","",I31)</f>
        <v/>
      </c>
      <c r="N35" s="231" t="s">
        <v>193</v>
      </c>
      <c r="O35" s="231"/>
      <c r="P35" s="94"/>
    </row>
    <row r="36" spans="2:16" x14ac:dyDescent="0.2">
      <c r="B36" s="93"/>
      <c r="C36" s="162" t="s">
        <v>29</v>
      </c>
      <c r="D36" s="244" t="s">
        <v>194</v>
      </c>
      <c r="E36" s="244"/>
      <c r="F36" s="244"/>
      <c r="G36" s="244"/>
      <c r="H36" s="244"/>
      <c r="I36" s="244"/>
      <c r="J36" s="244"/>
      <c r="K36" s="244"/>
      <c r="L36" s="244"/>
      <c r="M36" s="185" t="str">
        <f>IF(C7="No","",3025)</f>
        <v/>
      </c>
      <c r="N36" s="121"/>
      <c r="P36" s="94"/>
    </row>
    <row r="37" spans="2:16" ht="13.5" thickBot="1" x14ac:dyDescent="0.25">
      <c r="B37" s="93"/>
      <c r="C37" s="166" t="s">
        <v>31</v>
      </c>
      <c r="D37" s="269" t="s">
        <v>195</v>
      </c>
      <c r="E37" s="269"/>
      <c r="F37" s="269"/>
      <c r="G37" s="269"/>
      <c r="H37" s="269"/>
      <c r="I37" s="269"/>
      <c r="J37" s="269"/>
      <c r="K37" s="269"/>
      <c r="L37" s="269"/>
      <c r="M37" s="186" t="str">
        <f>IF(C7="No","",25%)</f>
        <v/>
      </c>
      <c r="N37" s="121"/>
      <c r="P37" s="94"/>
    </row>
    <row r="38" spans="2:16" x14ac:dyDescent="0.2">
      <c r="B38" s="93"/>
      <c r="P38" s="94"/>
    </row>
    <row r="39" spans="2:16" ht="12.75" customHeight="1" x14ac:dyDescent="0.2">
      <c r="B39" s="93"/>
      <c r="C39" s="281" t="s">
        <v>196</v>
      </c>
      <c r="D39" s="281"/>
      <c r="E39" s="281"/>
      <c r="F39" s="180" t="s">
        <v>184</v>
      </c>
      <c r="G39" s="283" t="s">
        <v>197</v>
      </c>
      <c r="H39" s="283"/>
      <c r="I39" s="283"/>
      <c r="P39" s="94"/>
    </row>
    <row r="40" spans="2:16" ht="12.75" customHeight="1" x14ac:dyDescent="0.2">
      <c r="B40" s="93"/>
      <c r="C40" s="181"/>
      <c r="D40" s="181"/>
      <c r="E40" s="181"/>
      <c r="F40" s="182" t="s">
        <v>184</v>
      </c>
      <c r="G40" s="282" t="str">
        <f>IF(C7="No","",(TEXT(M35,"#,##0.0")&amp;" × "&amp;TEXT(M36,"£#,##0")&amp;" × "&amp;TEXT(M37,"0%")))</f>
        <v/>
      </c>
      <c r="H40" s="282"/>
      <c r="I40" s="282"/>
      <c r="P40" s="94"/>
    </row>
    <row r="41" spans="2:16" x14ac:dyDescent="0.2">
      <c r="B41" s="93"/>
      <c r="C41" s="178"/>
      <c r="D41" s="178"/>
      <c r="E41" s="178"/>
      <c r="F41" s="183" t="s">
        <v>184</v>
      </c>
      <c r="G41" s="178" t="str">
        <f>IF(C7="No","",M35*M36*M37)</f>
        <v/>
      </c>
      <c r="H41" s="178"/>
      <c r="I41" s="178"/>
      <c r="P41" s="94"/>
    </row>
    <row r="42" spans="2:16" x14ac:dyDescent="0.2">
      <c r="B42" s="101"/>
      <c r="C42" s="102"/>
      <c r="D42" s="102"/>
      <c r="E42" s="102"/>
      <c r="F42" s="102"/>
      <c r="G42" s="102"/>
      <c r="H42" s="102"/>
      <c r="I42" s="102"/>
      <c r="J42" s="102"/>
      <c r="K42" s="102"/>
      <c r="L42" s="102"/>
      <c r="M42" s="102"/>
      <c r="N42" s="102"/>
      <c r="O42" s="102"/>
      <c r="P42" s="103"/>
    </row>
    <row r="43" spans="2:16" x14ac:dyDescent="0.2">
      <c r="C43" s="194"/>
    </row>
    <row r="44" spans="2:16" x14ac:dyDescent="0.2">
      <c r="C44" s="63" t="s">
        <v>179</v>
      </c>
    </row>
  </sheetData>
  <sheetProtection algorithmName="SHA-512" hashValue="1rq599dGP3J+F1pBuXqJvPP2KM3dvrZ+IE+db6Gw8NunYoKWgFeeIw7+L3YSoyKQiASAEnJQZGHQnXzldh2iHg==" saltValue="eNAX2fe7g6zj8kFGkJk2ZA==" spinCount="100000" sheet="1" selectLockedCells="1"/>
  <mergeCells count="30">
    <mergeCell ref="E7:N7"/>
    <mergeCell ref="G11:H11"/>
    <mergeCell ref="D35:L35"/>
    <mergeCell ref="D36:L36"/>
    <mergeCell ref="D37:L37"/>
    <mergeCell ref="I22:M23"/>
    <mergeCell ref="C29:G29"/>
    <mergeCell ref="I29:M29"/>
    <mergeCell ref="C30:G30"/>
    <mergeCell ref="I30:M30"/>
    <mergeCell ref="C31:G31"/>
    <mergeCell ref="I31:M31"/>
    <mergeCell ref="N35:O35"/>
    <mergeCell ref="C13:G13"/>
    <mergeCell ref="C14:G14"/>
    <mergeCell ref="C15:G15"/>
    <mergeCell ref="I13:M13"/>
    <mergeCell ref="I14:M14"/>
    <mergeCell ref="I15:M15"/>
    <mergeCell ref="C19:C20"/>
    <mergeCell ref="D19:D20"/>
    <mergeCell ref="E19:O20"/>
    <mergeCell ref="C39:E39"/>
    <mergeCell ref="G40:I40"/>
    <mergeCell ref="G39:I39"/>
    <mergeCell ref="C22:G22"/>
    <mergeCell ref="C24:G24"/>
    <mergeCell ref="I24:M24"/>
    <mergeCell ref="C25:G25"/>
    <mergeCell ref="I25:M25"/>
  </mergeCells>
  <conditionalFormatting sqref="C7">
    <cfRule type="expression" dxfId="46" priority="24">
      <formula>$C$7="Yes"</formula>
    </cfRule>
  </conditionalFormatting>
  <conditionalFormatting sqref="C15 H15:I15">
    <cfRule type="expression" priority="40" stopIfTrue="1">
      <formula>$I$15=""</formula>
    </cfRule>
    <cfRule type="expression" dxfId="45" priority="41">
      <formula>$I$15&gt;0</formula>
    </cfRule>
  </conditionalFormatting>
  <conditionalFormatting sqref="C31 H31:I31">
    <cfRule type="expression" priority="1" stopIfTrue="1">
      <formula>$I$15=""</formula>
    </cfRule>
    <cfRule type="expression" dxfId="44" priority="2">
      <formula>$I$15&gt;0</formula>
    </cfRule>
  </conditionalFormatting>
  <conditionalFormatting sqref="C41:I41">
    <cfRule type="expression" priority="5" stopIfTrue="1">
      <formula>$C$7="No"</formula>
    </cfRule>
    <cfRule type="expression" dxfId="43" priority="6">
      <formula>$C$7="Yes"</formula>
    </cfRule>
  </conditionalFormatting>
  <conditionalFormatting sqref="C25:M25">
    <cfRule type="expression" priority="3" stopIfTrue="1">
      <formula>$I$15=""</formula>
    </cfRule>
    <cfRule type="expression" dxfId="42" priority="4">
      <formula>$I$15&gt;0</formula>
    </cfRule>
  </conditionalFormatting>
  <dataValidations count="1">
    <dataValidation type="decimal" operator="greaterThanOrEqual" showInputMessage="1" showErrorMessage="1" error="Employee yield must be a number greater than or equal to 0" sqref="D19:D20" xr:uid="{C61840D0-68EE-4027-B4C8-6DB9FA755EA8}">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rowBreaks count="1" manualBreakCount="1">
    <brk id="3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B2:P47"/>
  <sheetViews>
    <sheetView workbookViewId="0">
      <selection activeCell="L13" sqref="L13"/>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198</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D5" s="3"/>
      <c r="E5" s="3"/>
      <c r="F5" s="3"/>
      <c r="G5" s="3"/>
      <c r="H5" s="3"/>
      <c r="I5" s="3"/>
      <c r="J5" s="3"/>
      <c r="K5" s="3"/>
      <c r="L5" s="3"/>
      <c r="M5" s="3"/>
      <c r="P5" s="94"/>
    </row>
    <row r="6" spans="2:16" x14ac:dyDescent="0.2">
      <c r="B6" s="93"/>
      <c r="P6" s="94"/>
    </row>
    <row r="7" spans="2:16" x14ac:dyDescent="0.2">
      <c r="B7" s="93"/>
      <c r="C7" s="139" t="str">
        <f>IF(AND('Development Details'!M36&gt;=10,'Development Details'!M36&lt;=99),"Yes","No")</f>
        <v>No</v>
      </c>
      <c r="D7" s="1" t="s">
        <v>178</v>
      </c>
      <c r="E7" s="276" t="str">
        <f>IF(C7="Yes","The development provides between 10 and 99 dwellings","The development provides less than 10 or more than 99 dwellings")</f>
        <v>The development provides less than 10 or more than 99 dwellings</v>
      </c>
      <c r="F7" s="276"/>
      <c r="G7" s="276"/>
      <c r="H7" s="276"/>
      <c r="I7" s="276"/>
      <c r="J7" s="276"/>
      <c r="K7" s="276"/>
      <c r="L7" s="276"/>
      <c r="P7" s="94"/>
    </row>
    <row r="8" spans="2:16" x14ac:dyDescent="0.2">
      <c r="B8" s="93"/>
      <c r="P8" s="94"/>
    </row>
    <row r="9" spans="2:16" x14ac:dyDescent="0.2">
      <c r="B9" s="93"/>
      <c r="C9" t="s">
        <v>199</v>
      </c>
      <c r="G9" s="291">
        <f>'Development Details'!H99</f>
        <v>0</v>
      </c>
      <c r="H9" s="291"/>
      <c r="P9" s="94"/>
    </row>
    <row r="10" spans="2:16" x14ac:dyDescent="0.2">
      <c r="B10" s="93"/>
      <c r="P10" s="94"/>
    </row>
    <row r="11" spans="2:16" ht="16.5" x14ac:dyDescent="0.25">
      <c r="B11" s="93"/>
      <c r="C11" s="3" t="s">
        <v>200</v>
      </c>
      <c r="P11" s="94"/>
    </row>
    <row r="12" spans="2:16" x14ac:dyDescent="0.2">
      <c r="B12" s="93"/>
      <c r="P12" s="94"/>
    </row>
    <row r="13" spans="2:16" x14ac:dyDescent="0.2">
      <c r="B13" s="93"/>
      <c r="C13" t="s">
        <v>201</v>
      </c>
      <c r="L13" s="188">
        <v>0</v>
      </c>
      <c r="P13" s="94"/>
    </row>
    <row r="14" spans="2:16" x14ac:dyDescent="0.2">
      <c r="B14" s="93"/>
      <c r="P14" s="94"/>
    </row>
    <row r="15" spans="2:16" ht="12.75" customHeight="1" x14ac:dyDescent="0.2">
      <c r="B15" s="93"/>
      <c r="C15" s="281" t="s">
        <v>200</v>
      </c>
      <c r="D15" s="281"/>
      <c r="E15" s="179" t="s">
        <v>184</v>
      </c>
      <c r="F15" s="281" t="s">
        <v>202</v>
      </c>
      <c r="G15" s="281"/>
      <c r="H15" s="281"/>
      <c r="P15" s="94"/>
    </row>
    <row r="16" spans="2:16" x14ac:dyDescent="0.2">
      <c r="B16" s="93"/>
      <c r="C16" s="143"/>
      <c r="D16" s="143"/>
      <c r="E16" s="142" t="s">
        <v>184</v>
      </c>
      <c r="F16" s="143" t="str">
        <f>IF(C7="No","",IF(ISBLANK(L13),Inputs_still_required,(TEXT(L13,"#,##0.0")&amp;" × £3,205")))</f>
        <v/>
      </c>
      <c r="G16" s="143"/>
      <c r="H16" s="143"/>
      <c r="P16" s="94"/>
    </row>
    <row r="17" spans="2:16" x14ac:dyDescent="0.2">
      <c r="B17" s="93"/>
      <c r="C17" s="139"/>
      <c r="D17" s="139"/>
      <c r="E17" s="144" t="s">
        <v>184</v>
      </c>
      <c r="F17" s="291" t="str">
        <f>IF(C7="No","",IF(ISBLANK(L13),Inputs_still_required,(L13*3205)))</f>
        <v/>
      </c>
      <c r="G17" s="291"/>
      <c r="H17" s="291"/>
      <c r="P17" s="94"/>
    </row>
    <row r="18" spans="2:16" x14ac:dyDescent="0.2">
      <c r="B18" s="93"/>
      <c r="P18" s="94"/>
    </row>
    <row r="19" spans="2:16" x14ac:dyDescent="0.2">
      <c r="B19" s="90"/>
      <c r="C19" s="91"/>
      <c r="D19" s="91"/>
      <c r="E19" s="91"/>
      <c r="F19" s="91"/>
      <c r="G19" s="91"/>
      <c r="H19" s="91"/>
      <c r="I19" s="91"/>
      <c r="J19" s="91"/>
      <c r="K19" s="91"/>
      <c r="L19" s="91"/>
      <c r="M19" s="91"/>
      <c r="N19" s="91"/>
      <c r="O19" s="91"/>
      <c r="P19" s="92"/>
    </row>
    <row r="20" spans="2:16" ht="19.5" thickBot="1" x14ac:dyDescent="0.3">
      <c r="B20" s="95"/>
      <c r="C20" s="96" t="s">
        <v>203</v>
      </c>
      <c r="D20" s="96"/>
      <c r="E20" s="96"/>
      <c r="F20" s="96"/>
      <c r="G20" s="96"/>
      <c r="H20" s="96"/>
      <c r="I20" s="96"/>
      <c r="J20" s="96"/>
      <c r="K20" s="96"/>
      <c r="L20" s="96"/>
      <c r="M20" s="96"/>
      <c r="N20" s="96"/>
      <c r="O20" s="96"/>
      <c r="P20" s="97"/>
    </row>
    <row r="21" spans="2:16" ht="13.5" thickTop="1" x14ac:dyDescent="0.2">
      <c r="B21" s="93"/>
      <c r="P21" s="94"/>
    </row>
    <row r="22" spans="2:16" ht="16.5" x14ac:dyDescent="0.25">
      <c r="B22" s="93"/>
      <c r="C22" s="3" t="s">
        <v>177</v>
      </c>
      <c r="P22" s="94"/>
    </row>
    <row r="23" spans="2:16" x14ac:dyDescent="0.2">
      <c r="B23" s="93"/>
      <c r="P23" s="94"/>
    </row>
    <row r="24" spans="2:16" x14ac:dyDescent="0.2">
      <c r="B24" s="93"/>
      <c r="C24" s="139" t="str">
        <f>IF('Development Details'!H99&gt;50000000,"Yes","No")</f>
        <v>No</v>
      </c>
      <c r="D24" s="1" t="s">
        <v>178</v>
      </c>
      <c r="E24" s="276" t="str">
        <f>IF(C24="Yes","The estimated construction value of the scheme exceeds £50,000,000","The estimated construction value of the scheme does not exceed £50,000,000")</f>
        <v>The estimated construction value of the scheme does not exceed £50,000,000</v>
      </c>
      <c r="F24" s="276"/>
      <c r="G24" s="276"/>
      <c r="H24" s="276"/>
      <c r="I24" s="276"/>
      <c r="J24" s="276"/>
      <c r="K24" s="276"/>
      <c r="L24" s="276"/>
      <c r="P24" s="94"/>
    </row>
    <row r="25" spans="2:16" x14ac:dyDescent="0.2">
      <c r="B25" s="93"/>
      <c r="P25" s="94"/>
    </row>
    <row r="26" spans="2:16" ht="16.5" x14ac:dyDescent="0.25">
      <c r="B26" s="93"/>
      <c r="C26" s="3" t="s">
        <v>204</v>
      </c>
      <c r="P26" s="94"/>
    </row>
    <row r="27" spans="2:16" x14ac:dyDescent="0.2">
      <c r="B27" s="93"/>
      <c r="P27" s="94"/>
    </row>
    <row r="28" spans="2:16" x14ac:dyDescent="0.2">
      <c r="B28" s="93"/>
      <c r="C28" s="225" t="s">
        <v>205</v>
      </c>
      <c r="D28" s="225"/>
      <c r="E28" s="225"/>
      <c r="F28" s="225"/>
      <c r="G28" s="225"/>
      <c r="H28" s="139" t="str">
        <f>C24</f>
        <v>No</v>
      </c>
      <c r="P28" s="94"/>
    </row>
    <row r="29" spans="2:16" x14ac:dyDescent="0.2">
      <c r="B29" s="101"/>
      <c r="C29" s="102"/>
      <c r="D29" s="102"/>
      <c r="E29" s="102"/>
      <c r="F29" s="102"/>
      <c r="G29" s="102"/>
      <c r="H29" s="102"/>
      <c r="I29" s="102"/>
      <c r="J29" s="102"/>
      <c r="K29" s="102"/>
      <c r="L29" s="102"/>
      <c r="M29" s="102"/>
      <c r="N29" s="102"/>
      <c r="O29" s="102"/>
      <c r="P29" s="103"/>
    </row>
    <row r="31" spans="2:16" x14ac:dyDescent="0.2">
      <c r="C31" s="63" t="s">
        <v>179</v>
      </c>
    </row>
    <row r="47" spans="3:3" x14ac:dyDescent="0.2">
      <c r="C47" s="194"/>
    </row>
  </sheetData>
  <sheetProtection algorithmName="SHA-512" hashValue="MHG12e0sG1hYgEtY1/6s0ULkY59jnpdo+xsJCEUr2HKwnkWQsOQ4r9XcBC4GZRHEwlSqqkZwdOMxv/Z2/AjIlQ==" saltValue="XkC99fFfSQvXK+2g2KRI0A==" spinCount="100000" sheet="1" selectLockedCells="1"/>
  <mergeCells count="7">
    <mergeCell ref="E7:L7"/>
    <mergeCell ref="G9:H9"/>
    <mergeCell ref="C28:G28"/>
    <mergeCell ref="C15:D15"/>
    <mergeCell ref="F15:H15"/>
    <mergeCell ref="F17:H17"/>
    <mergeCell ref="E24:L24"/>
  </mergeCells>
  <conditionalFormatting sqref="C7">
    <cfRule type="expression" dxfId="41" priority="10">
      <formula>$C$7="Yes"</formula>
    </cfRule>
  </conditionalFormatting>
  <conditionalFormatting sqref="C24">
    <cfRule type="expression" dxfId="40" priority="5">
      <formula>$C$24="Yes"</formula>
    </cfRule>
  </conditionalFormatting>
  <conditionalFormatting sqref="C17:F17">
    <cfRule type="expression" priority="2" stopIfTrue="1">
      <formula>$C$7="No"</formula>
    </cfRule>
    <cfRule type="expression" dxfId="39" priority="3">
      <formula>$C$7="Yes"</formula>
    </cfRule>
  </conditionalFormatting>
  <conditionalFormatting sqref="H28">
    <cfRule type="expression" dxfId="38" priority="4">
      <formula>$H$28="Yes"</formula>
    </cfRule>
  </conditionalFormatting>
  <dataValidations count="1">
    <dataValidation type="decimal" operator="greaterThanOrEqual" showInputMessage="1" showErrorMessage="1" error="Number of jobs must be a number greater than or equal to 0" sqref="L13" xr:uid="{B074F452-E09D-4E6A-8DF3-B0E1BBE69C6D}">
      <formula1>0</formula1>
    </dataValidation>
  </dataValidation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B2:P47"/>
  <sheetViews>
    <sheetView workbookViewId="0">
      <selection activeCell="I21" sqref="I2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206</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139" t="str">
        <f>IF('Development Details'!H87&gt;0, "Yes", "No")</f>
        <v>No</v>
      </c>
      <c r="D7" s="1" t="s">
        <v>178</v>
      </c>
      <c r="E7" s="276" t="str">
        <f>IF(C7="Yes","The development provides economic floorspace","The development does not provide economic floorspace")</f>
        <v>The development does not provide economic floorspace</v>
      </c>
      <c r="F7" s="276"/>
      <c r="G7" s="276"/>
      <c r="H7" s="276"/>
      <c r="I7" s="276"/>
      <c r="J7" s="276"/>
      <c r="P7" s="94"/>
    </row>
    <row r="8" spans="2:16" x14ac:dyDescent="0.2">
      <c r="B8" s="93"/>
      <c r="P8" s="94"/>
    </row>
    <row r="9" spans="2:16" x14ac:dyDescent="0.2">
      <c r="B9" s="93"/>
      <c r="C9" s="280" t="s">
        <v>81</v>
      </c>
      <c r="D9" s="280"/>
      <c r="E9" s="293" t="str">
        <f>IF(C7="No","",IF('Development Details'!H87&gt;=1000,"Provide a significant element of managed workspace; or provide a proportion of office floorpsace at an affordable rent in perpetuity","Provide a range of unit sizes; and demonstrate that the space is accessible for business at all stages in their development"))</f>
        <v/>
      </c>
      <c r="F9" s="293"/>
      <c r="G9" s="293"/>
      <c r="H9" s="293"/>
      <c r="I9" s="293"/>
      <c r="J9" s="293"/>
      <c r="P9" s="94"/>
    </row>
    <row r="10" spans="2:16" x14ac:dyDescent="0.2">
      <c r="B10" s="93"/>
      <c r="C10" s="280"/>
      <c r="D10" s="280"/>
      <c r="E10" s="293"/>
      <c r="F10" s="293"/>
      <c r="G10" s="293"/>
      <c r="H10" s="293"/>
      <c r="I10" s="293"/>
      <c r="J10" s="293"/>
      <c r="P10" s="94"/>
    </row>
    <row r="11" spans="2:16" x14ac:dyDescent="0.2">
      <c r="B11" s="93"/>
      <c r="P11" s="94"/>
    </row>
    <row r="12" spans="2:16" x14ac:dyDescent="0.2">
      <c r="B12" s="93"/>
      <c r="C12" t="s">
        <v>178</v>
      </c>
      <c r="D12" s="276" t="str">
        <f>IF(C7="No","",IF('Development Details'!H87&gt;=1000,"The development provides 1,000m² or more of economic floorspace","The development provides less than 1,000m² of economic floorspace"))</f>
        <v/>
      </c>
      <c r="E12" s="276"/>
      <c r="F12" s="276"/>
      <c r="G12" s="276"/>
      <c r="H12" s="276"/>
      <c r="I12" s="276"/>
      <c r="J12" s="276"/>
      <c r="P12" s="94"/>
    </row>
    <row r="13" spans="2:16" x14ac:dyDescent="0.2">
      <c r="B13" s="93"/>
      <c r="P13" s="94"/>
    </row>
    <row r="14" spans="2:16" ht="16.5" x14ac:dyDescent="0.25">
      <c r="B14" s="93"/>
      <c r="C14" s="3" t="s">
        <v>207</v>
      </c>
      <c r="P14" s="94"/>
    </row>
    <row r="15" spans="2:16" x14ac:dyDescent="0.2">
      <c r="B15" s="93"/>
      <c r="P15" s="94"/>
    </row>
    <row r="16" spans="2:16" x14ac:dyDescent="0.2">
      <c r="B16" s="93"/>
      <c r="C16" s="147" t="s">
        <v>208</v>
      </c>
      <c r="D16" s="147"/>
      <c r="E16" s="147"/>
      <c r="F16" s="147"/>
      <c r="G16" s="141" t="s">
        <v>184</v>
      </c>
      <c r="H16" s="284" t="s">
        <v>209</v>
      </c>
      <c r="I16" s="284"/>
      <c r="J16" s="284"/>
      <c r="K16" s="284"/>
      <c r="L16" s="284"/>
      <c r="M16" s="284"/>
      <c r="P16" s="94"/>
    </row>
    <row r="17" spans="2:16" x14ac:dyDescent="0.2">
      <c r="B17" s="93"/>
      <c r="C17" s="148"/>
      <c r="D17" s="148"/>
      <c r="E17" s="148"/>
      <c r="F17" s="148"/>
      <c r="G17" s="142" t="s">
        <v>184</v>
      </c>
      <c r="H17" s="285" t="str">
        <f>IF('Development Details'!H87&gt;=1000,"greater of 400 and (10% × "&amp;TEXT('Development Details'!H87,"#,##0")&amp;")","")</f>
        <v/>
      </c>
      <c r="I17" s="285"/>
      <c r="J17" s="285"/>
      <c r="K17" s="285"/>
      <c r="L17" s="285"/>
      <c r="M17" s="285"/>
      <c r="P17" s="94"/>
    </row>
    <row r="18" spans="2:16" x14ac:dyDescent="0.2">
      <c r="B18" s="93"/>
      <c r="C18" s="148"/>
      <c r="D18" s="148"/>
      <c r="E18" s="148"/>
      <c r="F18" s="148"/>
      <c r="G18" s="142" t="s">
        <v>184</v>
      </c>
      <c r="H18" s="285" t="str">
        <f>IF(H17="","","greater of 400 and "&amp;TEXT(0.1*'Development Details'!H87,"#,##0"))</f>
        <v/>
      </c>
      <c r="I18" s="285"/>
      <c r="J18" s="285"/>
      <c r="K18" s="285"/>
      <c r="L18" s="285"/>
      <c r="M18" s="285"/>
      <c r="P18" s="94"/>
    </row>
    <row r="19" spans="2:16" x14ac:dyDescent="0.2">
      <c r="B19" s="93"/>
      <c r="C19" s="139"/>
      <c r="D19" s="139"/>
      <c r="E19" s="139"/>
      <c r="F19" s="139"/>
      <c r="G19" s="144" t="s">
        <v>184</v>
      </c>
      <c r="H19" s="292" t="str">
        <f>IF(H18="","",IF((0.1*'Development Details'!H87)&gt;400,TEXT(0.1*'Development Details'!H87,"#,##0"),400))</f>
        <v/>
      </c>
      <c r="I19" s="292"/>
      <c r="J19" s="292"/>
      <c r="K19" s="292"/>
      <c r="L19" s="292"/>
      <c r="M19" s="292"/>
      <c r="P19" s="94"/>
    </row>
    <row r="20" spans="2:16" x14ac:dyDescent="0.2">
      <c r="B20" s="93"/>
      <c r="P20" s="94"/>
    </row>
    <row r="21" spans="2:16" x14ac:dyDescent="0.2">
      <c r="B21" s="93"/>
      <c r="C21" t="s">
        <v>210</v>
      </c>
      <c r="I21" s="146"/>
      <c r="P21" s="94"/>
    </row>
    <row r="22" spans="2:16" x14ac:dyDescent="0.2">
      <c r="B22" s="93"/>
      <c r="P22" s="94"/>
    </row>
    <row r="23" spans="2:16" ht="16.5" x14ac:dyDescent="0.25">
      <c r="B23" s="93"/>
      <c r="C23" s="3" t="s">
        <v>211</v>
      </c>
      <c r="P23" s="94"/>
    </row>
    <row r="24" spans="2:16" x14ac:dyDescent="0.2">
      <c r="B24" s="93"/>
      <c r="P24" s="94"/>
    </row>
    <row r="25" spans="2:16" x14ac:dyDescent="0.2">
      <c r="B25" s="93"/>
      <c r="C25" s="119" t="s">
        <v>177</v>
      </c>
      <c r="P25" s="94"/>
    </row>
    <row r="26" spans="2:16" x14ac:dyDescent="0.2">
      <c r="B26" s="93"/>
      <c r="P26" s="94"/>
    </row>
    <row r="27" spans="2:16" x14ac:dyDescent="0.2">
      <c r="B27" s="93"/>
      <c r="C27" s="276" t="str">
        <f>IF(C7="No","",IF(I21="No","Yes", IF(I21="Yes","No",Inputs_still_required)))</f>
        <v/>
      </c>
      <c r="D27" s="276"/>
      <c r="E27" s="1" t="s">
        <v>178</v>
      </c>
      <c r="F27" s="139" t="str">
        <f>IF(C27="Yes", "Managed workspace floorpsace will not be provided", IF(C27="No","Managed workspace floorspace will be provided",""))</f>
        <v/>
      </c>
      <c r="G27" s="139"/>
      <c r="H27" s="139"/>
      <c r="I27" s="139"/>
      <c r="J27" s="139"/>
      <c r="P27" s="94"/>
    </row>
    <row r="28" spans="2:16" x14ac:dyDescent="0.2">
      <c r="B28" s="93"/>
      <c r="P28" s="94"/>
    </row>
    <row r="29" spans="2:16" x14ac:dyDescent="0.2">
      <c r="B29" s="93"/>
      <c r="C29" s="284" t="s">
        <v>212</v>
      </c>
      <c r="D29" s="284"/>
      <c r="E29" s="284"/>
      <c r="F29" s="284"/>
      <c r="G29" s="141" t="s">
        <v>184</v>
      </c>
      <c r="H29" s="284" t="s">
        <v>213</v>
      </c>
      <c r="I29" s="284"/>
      <c r="J29" s="284"/>
      <c r="L29" s="149" t="s">
        <v>214</v>
      </c>
      <c r="P29" s="94"/>
    </row>
    <row r="30" spans="2:16" x14ac:dyDescent="0.2">
      <c r="B30" s="93"/>
      <c r="C30" s="285"/>
      <c r="D30" s="285"/>
      <c r="E30" s="285"/>
      <c r="F30" s="285"/>
      <c r="G30" s="142" t="s">
        <v>184</v>
      </c>
      <c r="H30" s="285" t="str">
        <f>IF(C27="Yes","10% × "&amp;TEXT('Development Details'!H87,"#,##0"),"")</f>
        <v/>
      </c>
      <c r="I30" s="285"/>
      <c r="J30" s="285"/>
      <c r="P30" s="94"/>
    </row>
    <row r="31" spans="2:16" x14ac:dyDescent="0.2">
      <c r="B31" s="93"/>
      <c r="C31" s="276"/>
      <c r="D31" s="276"/>
      <c r="E31" s="276"/>
      <c r="F31" s="276"/>
      <c r="G31" s="144" t="s">
        <v>184</v>
      </c>
      <c r="H31" s="292" t="str">
        <f>IF(C27="Yes",0.1*'Development Details'!H87,"")</f>
        <v/>
      </c>
      <c r="I31" s="292"/>
      <c r="J31" s="292"/>
      <c r="P31" s="94"/>
    </row>
    <row r="32" spans="2:16" x14ac:dyDescent="0.2">
      <c r="B32" s="101"/>
      <c r="C32" s="102"/>
      <c r="D32" s="102"/>
      <c r="E32" s="102"/>
      <c r="F32" s="102"/>
      <c r="G32" s="102"/>
      <c r="H32" s="102"/>
      <c r="I32" s="102"/>
      <c r="J32" s="102"/>
      <c r="K32" s="102"/>
      <c r="L32" s="102"/>
      <c r="M32" s="102"/>
      <c r="N32" s="102"/>
      <c r="O32" s="102"/>
      <c r="P32" s="103"/>
    </row>
    <row r="34" spans="3:3" x14ac:dyDescent="0.2">
      <c r="C34" s="63" t="s">
        <v>179</v>
      </c>
    </row>
    <row r="47" spans="3:3" x14ac:dyDescent="0.2">
      <c r="C47" s="194"/>
    </row>
  </sheetData>
  <sheetProtection algorithmName="SHA-512" hashValue="jKdDb84T4k3y17R+dEho0y6BkPLle7qzPN6NbURUX3EaRJhLhQwTHc/2eYgkV+CzWTGhEdQn4eSKpAUcEHp0sg==" saltValue="omJtyBp88ZYcxlfXVLrKKg==" spinCount="100000" sheet="1" selectLockedCells="1"/>
  <mergeCells count="15">
    <mergeCell ref="E7:J7"/>
    <mergeCell ref="D12:J12"/>
    <mergeCell ref="C29:F29"/>
    <mergeCell ref="E9:J10"/>
    <mergeCell ref="C9:D10"/>
    <mergeCell ref="C27:D27"/>
    <mergeCell ref="H16:M16"/>
    <mergeCell ref="H17:M17"/>
    <mergeCell ref="H18:M18"/>
    <mergeCell ref="H19:M19"/>
    <mergeCell ref="C30:F30"/>
    <mergeCell ref="C31:F31"/>
    <mergeCell ref="H29:J29"/>
    <mergeCell ref="H30:J30"/>
    <mergeCell ref="H31:J31"/>
  </mergeCells>
  <conditionalFormatting sqref="C7">
    <cfRule type="expression" dxfId="37" priority="12">
      <formula>$C$7="Yes"</formula>
    </cfRule>
  </conditionalFormatting>
  <conditionalFormatting sqref="C27:D27">
    <cfRule type="expression" dxfId="36" priority="4">
      <formula>$C$27="Yes"</formula>
    </cfRule>
  </conditionalFormatting>
  <conditionalFormatting sqref="C19:H19">
    <cfRule type="expression" priority="1" stopIfTrue="1">
      <formula>$H$19=""</formula>
    </cfRule>
    <cfRule type="expression" dxfId="35" priority="3">
      <formula>$H$19&gt;0</formula>
    </cfRule>
  </conditionalFormatting>
  <conditionalFormatting sqref="C31:J31">
    <cfRule type="expression" priority="8" stopIfTrue="1">
      <formula>$H$31=""</formula>
    </cfRule>
    <cfRule type="expression" dxfId="34" priority="9">
      <formula>$H$31&gt;0</formula>
    </cfRule>
  </conditionalFormatting>
  <conditionalFormatting sqref="C19:M19">
    <cfRule type="expression" dxfId="33" priority="2" stopIfTrue="1">
      <formula>$I$21="No"</formula>
    </cfRule>
  </conditionalFormatting>
  <conditionalFormatting sqref="E9">
    <cfRule type="expression" dxfId="32" priority="11">
      <formula>$C$7="Yes"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700-000000000000}">
          <x14:formula1>
            <xm:f>'Lookup Yes and No'!$A$1:$A$2</xm:f>
          </x14:formula1>
          <xm:sqref>I21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B2:P57"/>
  <sheetViews>
    <sheetView workbookViewId="0">
      <selection activeCell="I11" sqref="I11"/>
    </sheetView>
  </sheetViews>
  <sheetFormatPr defaultRowHeight="12.75" x14ac:dyDescent="0.2"/>
  <cols>
    <col min="1" max="2" width="2.7109375" customWidth="1"/>
    <col min="16" max="16" width="2.7109375" customWidth="1"/>
  </cols>
  <sheetData>
    <row r="2" spans="2:16" x14ac:dyDescent="0.2">
      <c r="B2" s="90"/>
      <c r="C2" s="91"/>
      <c r="D2" s="91"/>
      <c r="E2" s="91"/>
      <c r="F2" s="91"/>
      <c r="G2" s="91"/>
      <c r="H2" s="91"/>
      <c r="I2" s="91"/>
      <c r="J2" s="91"/>
      <c r="K2" s="91"/>
      <c r="L2" s="91"/>
      <c r="M2" s="91"/>
      <c r="N2" s="91"/>
      <c r="O2" s="91"/>
      <c r="P2" s="92"/>
    </row>
    <row r="3" spans="2:16" ht="19.5" thickBot="1" x14ac:dyDescent="0.3">
      <c r="B3" s="95"/>
      <c r="C3" s="96" t="s">
        <v>215</v>
      </c>
      <c r="D3" s="96"/>
      <c r="E3" s="96"/>
      <c r="F3" s="96"/>
      <c r="G3" s="96"/>
      <c r="H3" s="96"/>
      <c r="I3" s="96"/>
      <c r="J3" s="96"/>
      <c r="K3" s="96"/>
      <c r="L3" s="96"/>
      <c r="M3" s="96"/>
      <c r="N3" s="96"/>
      <c r="O3" s="96"/>
      <c r="P3" s="97"/>
    </row>
    <row r="4" spans="2:16" ht="13.5" thickTop="1" x14ac:dyDescent="0.2">
      <c r="B4" s="93"/>
      <c r="P4" s="94"/>
    </row>
    <row r="5" spans="2:16" ht="16.5" x14ac:dyDescent="0.25">
      <c r="B5" s="93"/>
      <c r="C5" s="3" t="s">
        <v>177</v>
      </c>
      <c r="P5" s="94"/>
    </row>
    <row r="6" spans="2:16" x14ac:dyDescent="0.2">
      <c r="B6" s="93"/>
      <c r="P6" s="94"/>
    </row>
    <row r="7" spans="2:16" x14ac:dyDescent="0.2">
      <c r="B7" s="93"/>
      <c r="C7" s="139" t="str">
        <f>IF(OR('Development Details'!M36&gt;=100,'Development Details'!E71&gt;=10000),"Yes","No")</f>
        <v>No</v>
      </c>
      <c r="D7" s="1" t="s">
        <v>178</v>
      </c>
      <c r="E7" s="276" t="str">
        <f>IF(C7="Yes","The development provides: 100 or more dwellings; 10,000m² or more of non-residential floorspace; or both","The development provides less than 100 dwellings and less than 10,000m² of non-residential floorspace")</f>
        <v>The development provides less than 100 dwellings and less than 10,000m² of non-residential floorspace</v>
      </c>
      <c r="F7" s="276"/>
      <c r="G7" s="276"/>
      <c r="H7" s="276"/>
      <c r="I7" s="276"/>
      <c r="J7" s="276"/>
      <c r="K7" s="276"/>
      <c r="L7" s="276"/>
      <c r="M7" s="276"/>
      <c r="N7" s="276"/>
      <c r="P7" s="94"/>
    </row>
    <row r="8" spans="2:16" x14ac:dyDescent="0.2">
      <c r="B8" s="93"/>
      <c r="P8" s="94"/>
    </row>
    <row r="9" spans="2:16" ht="16.5" x14ac:dyDescent="0.25">
      <c r="B9" s="93"/>
      <c r="C9" s="3" t="s">
        <v>216</v>
      </c>
      <c r="P9" s="94"/>
    </row>
    <row r="10" spans="2:16" x14ac:dyDescent="0.2">
      <c r="B10" s="93"/>
      <c r="P10" s="94"/>
    </row>
    <row r="11" spans="2:16" x14ac:dyDescent="0.2">
      <c r="B11" s="93"/>
      <c r="C11" t="s">
        <v>217</v>
      </c>
      <c r="I11" s="146"/>
      <c r="P11" s="94"/>
    </row>
    <row r="12" spans="2:16" x14ac:dyDescent="0.2">
      <c r="B12" s="93"/>
      <c r="P12" s="94"/>
    </row>
    <row r="13" spans="2:16" ht="16.5" x14ac:dyDescent="0.25">
      <c r="B13" s="93"/>
      <c r="C13" s="294" t="s">
        <v>218</v>
      </c>
      <c r="D13" s="294"/>
      <c r="E13" s="294"/>
      <c r="F13" s="294"/>
      <c r="P13" s="94"/>
    </row>
    <row r="14" spans="2:16" x14ac:dyDescent="0.2">
      <c r="B14" s="93"/>
      <c r="P14" s="94"/>
    </row>
    <row r="15" spans="2:16" ht="12.75" customHeight="1" x14ac:dyDescent="0.2">
      <c r="B15" s="93"/>
      <c r="C15" s="258" t="s">
        <v>219</v>
      </c>
      <c r="D15" s="258"/>
      <c r="E15" s="295" t="str">
        <f>IF(C7="No","",IF(I11="No","Yes",IF(I11="Yes", "No",Inputs_still_required)))</f>
        <v/>
      </c>
      <c r="F15" s="279" t="s">
        <v>178</v>
      </c>
      <c r="G15" s="293" t="str">
        <f>IF(E15="Yes","An Arts and Culture Action Plan is not being provided",IF(E15="No","An Arts and Culture Action Plan is being provided",""))</f>
        <v/>
      </c>
      <c r="H15" s="293"/>
      <c r="I15" s="293"/>
      <c r="P15" s="94"/>
    </row>
    <row r="16" spans="2:16" x14ac:dyDescent="0.2">
      <c r="B16" s="93"/>
      <c r="C16" s="258"/>
      <c r="D16" s="258"/>
      <c r="E16" s="295"/>
      <c r="F16" s="279"/>
      <c r="G16" s="293"/>
      <c r="H16" s="293"/>
      <c r="I16" s="293"/>
      <c r="P16" s="94"/>
    </row>
    <row r="17" spans="2:16" x14ac:dyDescent="0.2">
      <c r="B17" s="93"/>
      <c r="P17" s="94"/>
    </row>
    <row r="18" spans="2:16" x14ac:dyDescent="0.2">
      <c r="B18" s="93"/>
      <c r="C18" s="119" t="s">
        <v>220</v>
      </c>
      <c r="P18" s="94"/>
    </row>
    <row r="19" spans="2:16" x14ac:dyDescent="0.2">
      <c r="B19" s="93"/>
      <c r="P19" s="94"/>
    </row>
    <row r="20" spans="2:16" ht="12.75" customHeight="1" x14ac:dyDescent="0.2">
      <c r="B20" s="93"/>
      <c r="C20" s="197" t="s">
        <v>221</v>
      </c>
      <c r="D20" s="197"/>
      <c r="E20" s="197"/>
      <c r="F20" s="179" t="s">
        <v>184</v>
      </c>
      <c r="G20" s="283" t="s">
        <v>222</v>
      </c>
      <c r="H20" s="283"/>
      <c r="I20" s="283"/>
      <c r="J20" s="283"/>
      <c r="K20" s="283"/>
      <c r="L20" s="283"/>
      <c r="P20" s="94"/>
    </row>
    <row r="21" spans="2:16" x14ac:dyDescent="0.2">
      <c r="B21" s="93"/>
      <c r="C21" s="148"/>
      <c r="D21" s="148"/>
      <c r="E21" s="148"/>
      <c r="F21" s="142" t="s">
        <v>184</v>
      </c>
      <c r="G21" s="285" t="str">
        <f>IF(OR(C7="No",E15="No",'Development Details'!M36&lt;100),"",IF(I11="No","£400 × "&amp;TEXT('Development Details'!M36,"#,##0"),Inputs_still_required))</f>
        <v/>
      </c>
      <c r="H21" s="285"/>
      <c r="I21" s="285"/>
      <c r="J21" s="285"/>
      <c r="K21" s="285"/>
      <c r="L21" s="285"/>
      <c r="P21" s="94"/>
    </row>
    <row r="22" spans="2:16" x14ac:dyDescent="0.2">
      <c r="B22" s="93"/>
      <c r="C22" s="139"/>
      <c r="D22" s="139"/>
      <c r="E22" s="139"/>
      <c r="F22" s="144" t="s">
        <v>184</v>
      </c>
      <c r="G22" s="291">
        <f>IF(OR(C7="No",E15="No",'Development Details'!M36&lt;100),0,IF(I11="No",(400*'Development Details'!M36),Inputs_still_required))</f>
        <v>0</v>
      </c>
      <c r="H22" s="291"/>
      <c r="I22" s="291"/>
      <c r="J22" s="291"/>
      <c r="K22" s="291"/>
      <c r="L22" s="291"/>
      <c r="P22" s="94"/>
    </row>
    <row r="23" spans="2:16" x14ac:dyDescent="0.2">
      <c r="B23" s="93"/>
      <c r="P23" s="94"/>
    </row>
    <row r="24" spans="2:16" ht="12.75" customHeight="1" x14ac:dyDescent="0.2">
      <c r="B24" s="93"/>
      <c r="C24" s="197" t="s">
        <v>223</v>
      </c>
      <c r="D24" s="197"/>
      <c r="E24" s="197"/>
      <c r="F24" s="179" t="s">
        <v>184</v>
      </c>
      <c r="G24" s="283" t="s">
        <v>224</v>
      </c>
      <c r="H24" s="283"/>
      <c r="I24" s="283"/>
      <c r="J24" s="283"/>
      <c r="K24" s="283"/>
      <c r="L24" s="283"/>
      <c r="P24" s="94"/>
    </row>
    <row r="25" spans="2:16" x14ac:dyDescent="0.2">
      <c r="B25" s="93"/>
      <c r="C25" s="148"/>
      <c r="D25" s="148"/>
      <c r="E25" s="148"/>
      <c r="F25" s="142" t="s">
        <v>184</v>
      </c>
      <c r="G25" s="285" t="str">
        <f>IF(OR(C7="No",E15="No",'Development Details'!I95&lt;10000),"",IF(E15="Yes","£20,000 × ("&amp;TEXT('Development Details'!I95,"#,##0")&amp;" / 10,000))",Inputs_still_required))</f>
        <v/>
      </c>
      <c r="H25" s="285"/>
      <c r="I25" s="285"/>
      <c r="J25" s="285"/>
      <c r="K25" s="285"/>
      <c r="L25" s="285"/>
      <c r="P25" s="94"/>
    </row>
    <row r="26" spans="2:16" x14ac:dyDescent="0.2">
      <c r="B26" s="93"/>
      <c r="C26" s="139"/>
      <c r="D26" s="139"/>
      <c r="E26" s="139"/>
      <c r="F26" s="144" t="s">
        <v>184</v>
      </c>
      <c r="G26" s="291">
        <f>IF(OR(C7="No",E15="No",'Development Details'!I95&lt;10000),0,IF(E15="Yes",(20000*'Development Details'!I95/10000),Inputs_still_required))</f>
        <v>0</v>
      </c>
      <c r="H26" s="291"/>
      <c r="I26" s="291"/>
      <c r="J26" s="291"/>
      <c r="K26" s="291"/>
      <c r="L26" s="291"/>
      <c r="P26" s="94"/>
    </row>
    <row r="27" spans="2:16" x14ac:dyDescent="0.2">
      <c r="B27" s="93"/>
      <c r="P27" s="94"/>
    </row>
    <row r="28" spans="2:16" ht="12.75" customHeight="1" x14ac:dyDescent="0.2">
      <c r="B28" s="93"/>
      <c r="C28" s="197" t="s">
        <v>225</v>
      </c>
      <c r="D28" s="197"/>
      <c r="E28" s="197"/>
      <c r="F28" s="179" t="s">
        <v>184</v>
      </c>
      <c r="G28" s="283" t="s">
        <v>226</v>
      </c>
      <c r="H28" s="283"/>
      <c r="I28" s="283"/>
      <c r="J28" s="283"/>
      <c r="K28" s="283"/>
      <c r="L28" s="283"/>
      <c r="P28" s="94"/>
    </row>
    <row r="29" spans="2:16" x14ac:dyDescent="0.2">
      <c r="B29" s="93"/>
      <c r="C29" s="148"/>
      <c r="D29" s="148"/>
      <c r="E29" s="148"/>
      <c r="F29" s="142" t="s">
        <v>184</v>
      </c>
      <c r="G29" s="285" t="str">
        <f>IF(OR(C7="No",E15="No"),"",IF(E15="Yes",TEXT(G22,"£#,##0")&amp;" + "&amp;TEXT(G26,"£#,##0"),Inputs_still_required))</f>
        <v/>
      </c>
      <c r="H29" s="285"/>
      <c r="I29" s="285"/>
      <c r="J29" s="285"/>
      <c r="K29" s="285"/>
      <c r="L29" s="285"/>
      <c r="P29" s="94"/>
    </row>
    <row r="30" spans="2:16" x14ac:dyDescent="0.2">
      <c r="B30" s="93"/>
      <c r="C30" s="139"/>
      <c r="D30" s="139"/>
      <c r="E30" s="139"/>
      <c r="F30" s="144" t="s">
        <v>184</v>
      </c>
      <c r="G30" s="291" t="str">
        <f>IF(OR(C7="No",E15="No"),"",IF(E15="Yes",G22+G26,Inputs_still_required))</f>
        <v/>
      </c>
      <c r="H30" s="291"/>
      <c r="I30" s="291"/>
      <c r="J30" s="291"/>
      <c r="K30" s="291"/>
      <c r="L30" s="291"/>
      <c r="P30" s="94"/>
    </row>
    <row r="31" spans="2:16" x14ac:dyDescent="0.2">
      <c r="B31" s="93"/>
      <c r="P31" s="94"/>
    </row>
    <row r="32" spans="2:16" x14ac:dyDescent="0.2">
      <c r="B32" s="93"/>
      <c r="C32" s="119" t="s">
        <v>227</v>
      </c>
      <c r="P32" s="94"/>
    </row>
    <row r="33" spans="2:16" x14ac:dyDescent="0.2">
      <c r="B33" s="93"/>
      <c r="P33" s="94"/>
    </row>
    <row r="34" spans="2:16" x14ac:dyDescent="0.2">
      <c r="B34" s="93"/>
      <c r="C34" t="s">
        <v>228</v>
      </c>
      <c r="H34" s="146"/>
      <c r="P34" s="94"/>
    </row>
    <row r="35" spans="2:16" x14ac:dyDescent="0.2">
      <c r="B35" s="93"/>
      <c r="P35" s="94"/>
    </row>
    <row r="36" spans="2:16" ht="12.75" customHeight="1" x14ac:dyDescent="0.2">
      <c r="B36" s="93"/>
      <c r="C36" s="283" t="s">
        <v>221</v>
      </c>
      <c r="D36" s="283"/>
      <c r="E36" s="283"/>
      <c r="F36" s="179" t="s">
        <v>184</v>
      </c>
      <c r="G36" s="283" t="s">
        <v>229</v>
      </c>
      <c r="H36" s="283"/>
      <c r="I36" s="283"/>
      <c r="J36" s="283"/>
      <c r="K36" s="283"/>
      <c r="L36" s="283"/>
      <c r="P36" s="94"/>
    </row>
    <row r="37" spans="2:16" x14ac:dyDescent="0.2">
      <c r="B37" s="93"/>
      <c r="C37" s="285"/>
      <c r="D37" s="285"/>
      <c r="E37" s="285"/>
      <c r="F37" s="142" t="s">
        <v>184</v>
      </c>
      <c r="G37" s="285" t="str">
        <f>IF(OR(C7="No",E15="No",H34="No",'Development Details'!M36&lt;100), "",IF(H34="Yes","£600 × "&amp;TEXT('Development Details'!M36,"#,##0"),Inputs_still_required))</f>
        <v/>
      </c>
      <c r="H37" s="285"/>
      <c r="I37" s="285"/>
      <c r="J37" s="285"/>
      <c r="K37" s="285"/>
      <c r="L37" s="285"/>
      <c r="P37" s="94"/>
    </row>
    <row r="38" spans="2:16" x14ac:dyDescent="0.2">
      <c r="B38" s="93"/>
      <c r="C38" s="276"/>
      <c r="D38" s="276"/>
      <c r="E38" s="276"/>
      <c r="F38" s="144" t="s">
        <v>184</v>
      </c>
      <c r="G38" s="291">
        <f>IF(OR(C7="No",E15="No",H34="No",'Development Details'!M36&lt;100), 0,IF(H34="Yes",600*'Development Details'!M36,Inputs_still_required))</f>
        <v>0</v>
      </c>
      <c r="H38" s="291"/>
      <c r="I38" s="291"/>
      <c r="J38" s="291"/>
      <c r="K38" s="291"/>
      <c r="L38" s="291"/>
      <c r="P38" s="94"/>
    </row>
    <row r="39" spans="2:16" x14ac:dyDescent="0.2">
      <c r="B39" s="93"/>
      <c r="P39" s="94"/>
    </row>
    <row r="40" spans="2:16" ht="12.75" customHeight="1" x14ac:dyDescent="0.2">
      <c r="B40" s="93"/>
      <c r="C40" s="283" t="s">
        <v>223</v>
      </c>
      <c r="D40" s="283"/>
      <c r="E40" s="283"/>
      <c r="F40" s="179" t="s">
        <v>184</v>
      </c>
      <c r="G40" s="283" t="s">
        <v>224</v>
      </c>
      <c r="H40" s="283"/>
      <c r="I40" s="283"/>
      <c r="J40" s="283"/>
      <c r="K40" s="283"/>
      <c r="L40" s="283"/>
      <c r="P40" s="94"/>
    </row>
    <row r="41" spans="2:16" x14ac:dyDescent="0.2">
      <c r="B41" s="93"/>
      <c r="C41" s="285"/>
      <c r="D41" s="285"/>
      <c r="E41" s="285"/>
      <c r="F41" s="142" t="s">
        <v>184</v>
      </c>
      <c r="G41" s="285" t="str">
        <f>IF(OR(C7="No",E15="No",H34="No",'Development Details'!I95&lt;10000), "",IF(H34="Yes","£20,000 × ("&amp;TEXT('Development Details'!I95,"#,##0")&amp;" / 10,000))",Inputs_still_required))</f>
        <v/>
      </c>
      <c r="H41" s="285"/>
      <c r="I41" s="285"/>
      <c r="J41" s="285"/>
      <c r="K41" s="285"/>
      <c r="L41" s="285"/>
      <c r="P41" s="94"/>
    </row>
    <row r="42" spans="2:16" x14ac:dyDescent="0.2">
      <c r="B42" s="93"/>
      <c r="C42" s="276"/>
      <c r="D42" s="276"/>
      <c r="E42" s="276"/>
      <c r="F42" s="144" t="s">
        <v>184</v>
      </c>
      <c r="G42" s="291">
        <f>IF(OR(C7="No",E15="No",H34="No",'Development Details'!I95&lt;10000), 0,IF(H34="Yes",20000*'Development Details'!I95/10000,Inputs_still_required))</f>
        <v>0</v>
      </c>
      <c r="H42" s="291"/>
      <c r="I42" s="291"/>
      <c r="J42" s="291"/>
      <c r="K42" s="291"/>
      <c r="L42" s="291"/>
      <c r="P42" s="94"/>
    </row>
    <row r="43" spans="2:16" x14ac:dyDescent="0.2">
      <c r="B43" s="93"/>
      <c r="P43" s="94"/>
    </row>
    <row r="44" spans="2:16" ht="12.75" customHeight="1" x14ac:dyDescent="0.2">
      <c r="B44" s="93"/>
      <c r="C44" s="283" t="s">
        <v>225</v>
      </c>
      <c r="D44" s="283"/>
      <c r="E44" s="283"/>
      <c r="F44" s="179" t="s">
        <v>184</v>
      </c>
      <c r="G44" s="283" t="s">
        <v>226</v>
      </c>
      <c r="H44" s="283"/>
      <c r="I44" s="283"/>
      <c r="J44" s="283"/>
      <c r="K44" s="283"/>
      <c r="L44" s="283"/>
      <c r="P44" s="94"/>
    </row>
    <row r="45" spans="2:16" x14ac:dyDescent="0.2">
      <c r="B45" s="93"/>
      <c r="C45" s="285"/>
      <c r="D45" s="285"/>
      <c r="E45" s="285"/>
      <c r="F45" s="142" t="s">
        <v>184</v>
      </c>
      <c r="G45" s="285" t="str">
        <f>IF(OR(C7="No",E15="No",H34="No"), "",IF(H34="Yes",(TEXT(G38,"£#,##0")&amp;" + "&amp;TEXT(G42,"£#,##0")),Inputs_still_required))</f>
        <v/>
      </c>
      <c r="H45" s="285"/>
      <c r="I45" s="285"/>
      <c r="J45" s="285"/>
      <c r="K45" s="285"/>
      <c r="L45" s="285"/>
      <c r="P45" s="94"/>
    </row>
    <row r="46" spans="2:16" ht="12.75" customHeight="1" x14ac:dyDescent="0.2">
      <c r="B46" s="93"/>
      <c r="C46" s="276"/>
      <c r="D46" s="276"/>
      <c r="E46" s="276"/>
      <c r="F46" s="144" t="s">
        <v>184</v>
      </c>
      <c r="G46" s="291" t="str">
        <f>IF(OR(C7="No",E15="No",H34="No"),"",IF(H34="Yes",(G38+G42),Inputs_still_required))</f>
        <v/>
      </c>
      <c r="H46" s="291"/>
      <c r="I46" s="291"/>
      <c r="J46" s="291"/>
      <c r="K46" s="291"/>
      <c r="L46" s="291"/>
      <c r="P46" s="94"/>
    </row>
    <row r="47" spans="2:16" x14ac:dyDescent="0.2">
      <c r="B47" s="101"/>
      <c r="C47" s="102"/>
      <c r="D47" s="102"/>
      <c r="E47" s="102"/>
      <c r="F47" s="102"/>
      <c r="G47" s="102"/>
      <c r="H47" s="102"/>
      <c r="I47" s="102"/>
      <c r="J47" s="102"/>
      <c r="K47" s="102"/>
      <c r="L47" s="102"/>
      <c r="M47" s="102"/>
      <c r="N47" s="102"/>
      <c r="O47" s="102"/>
      <c r="P47" s="103"/>
    </row>
    <row r="49" spans="3:3" x14ac:dyDescent="0.2">
      <c r="C49" s="63" t="s">
        <v>179</v>
      </c>
    </row>
    <row r="57" spans="3:3" x14ac:dyDescent="0.2">
      <c r="C57" s="194"/>
    </row>
  </sheetData>
  <sheetProtection algorithmName="SHA-512" hashValue="SUUJSejII2KunUJWQFmSuVg9MvELLbN7JpRtKdbKayEv4CQY3XhFci+68L1IOW3/ec6QH3bIKvsxVnm3bf08jg==" saltValue="BZS4EdFZNR8IKJKw84++Zw==" spinCount="100000" sheet="1" selectLockedCells="1"/>
  <mergeCells count="33">
    <mergeCell ref="G46:L46"/>
    <mergeCell ref="C36:E36"/>
    <mergeCell ref="C44:E44"/>
    <mergeCell ref="C45:E45"/>
    <mergeCell ref="C46:E46"/>
    <mergeCell ref="C40:E40"/>
    <mergeCell ref="C41:E41"/>
    <mergeCell ref="C42:E42"/>
    <mergeCell ref="C37:E37"/>
    <mergeCell ref="C38:E38"/>
    <mergeCell ref="G44:L44"/>
    <mergeCell ref="G45:L45"/>
    <mergeCell ref="G40:L40"/>
    <mergeCell ref="G41:L41"/>
    <mergeCell ref="E7:N7"/>
    <mergeCell ref="E15:E16"/>
    <mergeCell ref="C15:D16"/>
    <mergeCell ref="F15:F16"/>
    <mergeCell ref="G15:I16"/>
    <mergeCell ref="G26:L26"/>
    <mergeCell ref="G42:L42"/>
    <mergeCell ref="G37:L37"/>
    <mergeCell ref="G38:L38"/>
    <mergeCell ref="C13:F13"/>
    <mergeCell ref="G29:L29"/>
    <mergeCell ref="G30:L30"/>
    <mergeCell ref="G20:L20"/>
    <mergeCell ref="G21:L21"/>
    <mergeCell ref="G22:L22"/>
    <mergeCell ref="G24:L24"/>
    <mergeCell ref="G25:L25"/>
    <mergeCell ref="G36:L36"/>
    <mergeCell ref="G28:L28"/>
  </mergeCells>
  <conditionalFormatting sqref="C7">
    <cfRule type="expression" dxfId="31" priority="16">
      <formula>$C$7="Yes"</formula>
    </cfRule>
  </conditionalFormatting>
  <conditionalFormatting sqref="C38 F38:G38 C42 F42:G42 C46 F46:G46">
    <cfRule type="expression" priority="34" stopIfTrue="1">
      <formula>OR($G$46="",$G$46=Inputs_still_required)</formula>
    </cfRule>
    <cfRule type="expression" dxfId="30" priority="35">
      <formula>$G$46&gt;0</formula>
    </cfRule>
  </conditionalFormatting>
  <conditionalFormatting sqref="C22:G22 C26:G26 C30:G30">
    <cfRule type="expression" priority="32" stopIfTrue="1">
      <formula>OR($G$26="",$G$26=Inputs_still_required)</formula>
    </cfRule>
    <cfRule type="expression" dxfId="29" priority="33">
      <formula>$G$26&gt;0</formula>
    </cfRule>
  </conditionalFormatting>
  <conditionalFormatting sqref="E15">
    <cfRule type="expression" dxfId="28" priority="15">
      <formula>$E$15="Yes"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00000000-0002-0000-0800-000000000000}">
          <x14:formula1>
            <xm:f>'Lookup Yes and No'!$A$1:$A$2</xm:f>
          </x14:formula1>
          <xm:sqref>I11 H34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170e01-b109-40f9-a371-003a1bb8801d">
      <Terms xmlns="http://schemas.microsoft.com/office/infopath/2007/PartnerControls"/>
    </lcf76f155ced4ddcb4097134ff3c332f>
    <TaxCatchAll xmlns="38a809ab-bf8d-4391-94ea-7f25297ee6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0F3BBB9790784C8BCA740A553ADA9E" ma:contentTypeVersion="15" ma:contentTypeDescription="Create a new document." ma:contentTypeScope="" ma:versionID="40481b6df181a20cabcfdf4efebb256b">
  <xsd:schema xmlns:xsd="http://www.w3.org/2001/XMLSchema" xmlns:xs="http://www.w3.org/2001/XMLSchema" xmlns:p="http://schemas.microsoft.com/office/2006/metadata/properties" xmlns:ns2="25170e01-b109-40f9-a371-003a1bb8801d" xmlns:ns3="38a809ab-bf8d-4391-94ea-7f25297ee6a0" targetNamespace="http://schemas.microsoft.com/office/2006/metadata/properties" ma:root="true" ma:fieldsID="c20378b76eda6e1aad183a8cc02f87e2" ns2:_="" ns3:_="">
    <xsd:import namespace="25170e01-b109-40f9-a371-003a1bb8801d"/>
    <xsd:import namespace="38a809ab-bf8d-4391-94ea-7f25297ee6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70e01-b109-40f9-a371-003a1bb88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084b5b8-5c41-402a-93b7-1e2a455a055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a809ab-bf8d-4391-94ea-7f25297ee6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60c01d-42e7-4b84-bc03-4968ce729ac0}" ma:internalName="TaxCatchAll" ma:showField="CatchAllData" ma:web="38a809ab-bf8d-4391-94ea-7f25297ee6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3F7896-02FB-4D33-8ABF-A1DF610F8C10}">
  <ds:schemaRefs>
    <ds:schemaRef ds:uri="http://schemas.microsoft.com/office/2006/metadata/properties"/>
    <ds:schemaRef ds:uri="dd432206-5341-4a9e-8bc1-0dd52a14e58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 ds:uri="7be4f7ab-f764-4276-a5ed-ac707042befe"/>
    <ds:schemaRef ds:uri="http://purl.org/dc/elements/1.1/"/>
    <ds:schemaRef ds:uri="http://schemas.microsoft.com/office/infopath/2007/PartnerControls"/>
    <ds:schemaRef ds:uri="http://www.w3.org/XML/1998/namespace"/>
    <ds:schemaRef ds:uri="25170e01-b109-40f9-a371-003a1bb8801d"/>
    <ds:schemaRef ds:uri="38a809ab-bf8d-4391-94ea-7f25297ee6a0"/>
  </ds:schemaRefs>
</ds:datastoreItem>
</file>

<file path=customXml/itemProps2.xml><?xml version="1.0" encoding="utf-8"?>
<ds:datastoreItem xmlns:ds="http://schemas.openxmlformats.org/officeDocument/2006/customXml" ds:itemID="{989C6988-39D7-4AE6-9012-F875E6909A79}">
  <ds:schemaRefs>
    <ds:schemaRef ds:uri="http://schemas.microsoft.com/sharepoint/v3/contenttype/forms"/>
  </ds:schemaRefs>
</ds:datastoreItem>
</file>

<file path=customXml/itemProps3.xml><?xml version="1.0" encoding="utf-8"?>
<ds:datastoreItem xmlns:ds="http://schemas.openxmlformats.org/officeDocument/2006/customXml" ds:itemID="{B7C328CD-9FE7-4569-A1FD-F747944B75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70e01-b109-40f9-a371-003a1bb8801d"/>
    <ds:schemaRef ds:uri="38a809ab-bf8d-4391-94ea-7f25297ee6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63da656-5c75-4f6d-9461-4a3ce9a537cc}" enabled="1" method="Standard" siteId="{d9d3f5ac-f803-49be-949f-14a7074d74a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Contents</vt:lpstr>
      <vt:lpstr>Instructions</vt:lpstr>
      <vt:lpstr>Application Details</vt:lpstr>
      <vt:lpstr>Development Details</vt:lpstr>
      <vt:lpstr>A</vt:lpstr>
      <vt:lpstr>B</vt:lpstr>
      <vt:lpstr>C</vt:lpstr>
      <vt:lpstr>D</vt:lpstr>
      <vt:lpstr>E</vt:lpstr>
      <vt:lpstr>F</vt:lpstr>
      <vt:lpstr>G</vt:lpstr>
      <vt:lpstr>H</vt:lpstr>
      <vt:lpstr>I</vt:lpstr>
      <vt:lpstr>J</vt:lpstr>
      <vt:lpstr>K</vt:lpstr>
      <vt:lpstr>Requirements Summary</vt:lpstr>
      <vt:lpstr>Lookup Development Size</vt:lpstr>
      <vt:lpstr>Lookup Predominant Use</vt:lpstr>
      <vt:lpstr>Lookup Yes and No</vt:lpstr>
      <vt:lpstr>Population Development Matrix</vt:lpstr>
      <vt:lpstr>Population Yield</vt:lpstr>
      <vt:lpstr>Population 2004 Yield</vt:lpstr>
      <vt:lpstr>Population 2007 Yield</vt:lpstr>
      <vt:lpstr>Standard Messages</vt:lpstr>
      <vt:lpstr>Inputs_still_required</vt:lpstr>
      <vt:lpstr>No_requirement</vt:lpstr>
      <vt:lpstr>No_requirement_in_document</vt:lpstr>
      <vt:lpstr>Not_included_in_calculator</vt:lpstr>
      <vt:lpstr>Not_included_in_summary</vt:lpstr>
      <vt:lpstr>A!Print_Area</vt:lpstr>
      <vt:lpstr>'Application Details'!Print_Area</vt:lpstr>
      <vt:lpstr>B!Print_Area</vt:lpstr>
      <vt:lpstr>'C'!Print_Area</vt:lpstr>
      <vt:lpstr>Contents!Print_Area</vt:lpstr>
      <vt:lpstr>D!Print_Area</vt:lpstr>
      <vt:lpstr>'Development Details'!Print_Area</vt:lpstr>
      <vt:lpstr>E!Print_Area</vt:lpstr>
      <vt:lpstr>F!Print_Area</vt:lpstr>
      <vt:lpstr>G!Print_Area</vt:lpstr>
      <vt:lpstr>H!Print_Area</vt:lpstr>
      <vt:lpstr>I!Print_Area</vt:lpstr>
      <vt:lpstr>Instructions!Print_Area</vt:lpstr>
      <vt:lpstr>J!Print_Area</vt:lpstr>
      <vt:lpstr>K!Print_Area</vt:lpstr>
      <vt:lpstr>'Population Development Matrix'!Print_Area</vt:lpstr>
      <vt:lpstr>'Population Yield'!Print_Area</vt:lpstr>
      <vt:lpstr>'Requirements Summary'!Print_Area</vt:lpstr>
      <vt:lpstr>Contents!Print_Titles</vt:lpstr>
      <vt:lpstr>'Requirements Summary'!Print_Titles</vt:lpstr>
    </vt:vector>
  </TitlesOfParts>
  <Manager/>
  <Company>Wandsworth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Clearwater, Patrick</dc:creator>
  <cp:keywords/>
  <dc:description/>
  <cp:lastModifiedBy>Chris Williams</cp:lastModifiedBy>
  <cp:revision/>
  <dcterms:created xsi:type="dcterms:W3CDTF">2018-08-30T09:53:52Z</dcterms:created>
  <dcterms:modified xsi:type="dcterms:W3CDTF">2024-03-21T13:53:27Z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0x010100A40F3BBB9790784C8BCA740A553ADA9E</vt:lpwstr>
  </property>
  <property fmtid="{D5CDD505-2E9C-101B-9397-08002B2CF9AE}" pid="3" name="Order">
    <vt:r8>100</vt:r8>
  </property>
  <property fmtid="{D5CDD505-2E9C-101B-9397-08002B2CF9AE}" pid="4" name="_dlc_DocIdItemGuid">
    <vt:lpwstr>5f280be0-a026-451a-abdf-59e5e62e3efb</vt:lpwstr>
  </property>
  <property fmtid="{D5CDD505-2E9C-101B-9397-08002B2CF9AE}" pid="5" name="MSIP_Label_763da656-5c75-4f6d-9461-4a3ce9a537cc_Enabled">
    <vt:lpwstr>true</vt:lpwstr>
  </property>
  <property fmtid="{D5CDD505-2E9C-101B-9397-08002B2CF9AE}" pid="6" name="MSIP_Label_763da656-5c75-4f6d-9461-4a3ce9a537cc_SetDate">
    <vt:lpwstr>2021-04-09T10:35:44Z</vt:lpwstr>
  </property>
  <property fmtid="{D5CDD505-2E9C-101B-9397-08002B2CF9AE}" pid="7" name="MSIP_Label_763da656-5c75-4f6d-9461-4a3ce9a537cc_Method">
    <vt:lpwstr>Standard</vt:lpwstr>
  </property>
  <property fmtid="{D5CDD505-2E9C-101B-9397-08002B2CF9AE}" pid="8" name="MSIP_Label_763da656-5c75-4f6d-9461-4a3ce9a537cc_Name">
    <vt:lpwstr>763da656-5c75-4f6d-9461-4a3ce9a537cc</vt:lpwstr>
  </property>
  <property fmtid="{D5CDD505-2E9C-101B-9397-08002B2CF9AE}" pid="9" name="MSIP_Label_763da656-5c75-4f6d-9461-4a3ce9a537cc_SiteId">
    <vt:lpwstr>d9d3f5ac-f803-49be-949f-14a7074d74a7</vt:lpwstr>
  </property>
  <property fmtid="{D5CDD505-2E9C-101B-9397-08002B2CF9AE}" pid="10" name="MSIP_Label_763da656-5c75-4f6d-9461-4a3ce9a537cc_ActionId">
    <vt:lpwstr>7aea3ab4-73e7-4211-b3a5-8662ee8eaede</vt:lpwstr>
  </property>
  <property fmtid="{D5CDD505-2E9C-101B-9397-08002B2CF9AE}" pid="11" name="MSIP_Label_763da656-5c75-4f6d-9461-4a3ce9a537cc_ContentBits">
    <vt:lpwstr>1</vt:lpwstr>
  </property>
  <property fmtid="{D5CDD505-2E9C-101B-9397-08002B2CF9AE}" pid="12" name="MediaServiceImageTags">
    <vt:lpwstr/>
  </property>
</Properties>
</file>